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nkh\OneDrive\Desktop\Lake Kai\"/>
    </mc:Choice>
  </mc:AlternateContent>
  <xr:revisionPtr revIDLastSave="0" documentId="13_ncr:1_{1A1D21CD-9D13-48A4-AF2E-8638FD1B3E20}" xr6:coauthVersionLast="47" xr6:coauthVersionMax="47" xr10:uidLastSave="{00000000-0000-0000-0000-000000000000}"/>
  <bookViews>
    <workbookView xWindow="67080" yWindow="1035" windowWidth="29040" windowHeight="15720" tabRatio="696" xr2:uid="{00000000-000D-0000-FFFF-FFFF00000000}"/>
  </bookViews>
  <sheets>
    <sheet name="SUMMARY" sheetId="5" r:id="rId1"/>
    <sheet name="Proforma" sheetId="9" r:id="rId2"/>
    <sheet name="Lot Pricing Worksheet" sheetId="17" r:id="rId3"/>
    <sheet name="Lot Pricing" sheetId="8" r:id="rId4"/>
    <sheet name="Land Comps" sheetId="13" r:id="rId5"/>
    <sheet name="SFH Comps" sheetId="16" r:id="rId6"/>
    <sheet name="Entitlement Gantt Chart" sheetId="15" r:id="rId7"/>
  </sheets>
  <definedNames>
    <definedName name="_xlnm._FilterDatabase" localSheetId="0" hidden="1">SUMMARY!$AB$9:$AD$9</definedName>
    <definedName name="_Order1" hidden="1">255</definedName>
    <definedName name="_Order2" hidden="1">0</definedName>
    <definedName name="AccessDatabase" hidden="1">"\\Tc-atl-2\investment\Office &amp; Industrial\Principal Capital\Southhall\Southhall Center.mdb"</definedName>
    <definedName name="adasfasf" hidden="1">{"Construction Costs",#N/A,FALSE,"Total Costs"}</definedName>
    <definedName name="Computer" hidden="1">{"Annual Cash Flows",#N/A,FALSE,"Annual Summary"}</definedName>
    <definedName name="Construct" hidden="1">{"Assumptions",#N/A,FALSE,"Assumptions"}</definedName>
    <definedName name="Construct2" hidden="1">{"Assumptions",#N/A,FALSE,"Assumptions"}</definedName>
    <definedName name="construction" hidden="1">{"Construction Costs",#N/A,FALSE,"Total Costs"}</definedName>
    <definedName name="Construction1" hidden="1">{"Construction Costs",#N/A,FALSE,"Total Costs"}</definedName>
    <definedName name="construction2" hidden="1">{"Construction Costs",#N/A,FALSE,"Total Costs"}</definedName>
    <definedName name="CostDetail" hidden="1">{"CF",#N/A,FALSE,"Cash Flow";"RET",#N/A,FALSE,"Returns";"NPV",#N/A,FALSE,"Values";"ASMPT",#N/A,FALSE,"Assumptions"}</definedName>
    <definedName name="Cottage" hidden="1">{"cot1",#N/A,FALSE,"Cottages";"cot2",#N/A,FALSE,"Cottages";"cot3",#N/A,FALSE,"Cottages"}</definedName>
    <definedName name="cottage2" hidden="1">{"cot1",#N/A,FALSE,"Cottages";"cot2",#N/A,FALSE,"Cottages";"cot3",#N/A,FALSE,"Cottages"}</definedName>
    <definedName name="DetailedCosts" hidden="1">{"CF",#N/A,FALSE,"Cash Flow";"RET",#N/A,FALSE,"Returns";"NPV",#N/A,FALSE,"Values";"ASMPT",#N/A,FALSE,"Assumptions"}</definedName>
    <definedName name="fds" hidden="1">{"Annual Cash Flows",#N/A,FALSE,"Annual Summary";"qtrl1",#N/A,FALSE,"QTLY Summary";"qtrl2",#N/A,FALSE,"QTLY Summary";"qtrl3",#N/A,FALSE,"QTLY Summary";"qtrl4",#N/A,FALSE,"QTLY Summary";"qtrl5",#N/A,FALSE,"QTLY Summary";"qtrl6",#N/A,FALSE,"QTLY Summary"}</definedName>
    <definedName name="filler" hidden="1">{"Annual Cash Flows",#N/A,FALSE,"Annual Summary"}</definedName>
    <definedName name="filler2" hidden="1">{"Assumptions",#N/A,FALSE,"Assumptions"}</definedName>
    <definedName name="filler3" hidden="1">{"Construction Costs",#N/A,FALSE,"Total Costs"}</definedName>
    <definedName name="Flowers" hidden="1">{#N/A,#N/A,FALSE,"Summary 1";#N/A,#N/A,FALSE,"Summary 2";#N/A,#N/A,FALSE,"Emp Count";#N/A,#N/A,FALSE,"M&amp;A";#N/A,#N/A,FALSE,"Beachclub Ops";#N/A,#N/A,FALSE,"Golf Ops";#N/A,#N/A,FALSE,"Golf Maint";#N/A,#N/A,FALSE,"Food &amp; Bev";#N/A,#N/A,FALSE,"OP";#N/A,#N/A,FALSE,"Spa"}</definedName>
    <definedName name="kyd.CounterLimitCell.01." hidden="1">"x"</definedName>
    <definedName name="kyd.Dim.01." hidden="1">"toad:Company"</definedName>
    <definedName name="kyd.ElementType.01." hidden="1">3</definedName>
    <definedName name="kyd.ItemType.01." hidden="1">2</definedName>
    <definedName name="kyd.NumLevels.01." hidden="1">999</definedName>
    <definedName name="kyd.ParentName.01." hidden="1">""</definedName>
    <definedName name="kyd.PrintParent.01." hidden="1">TRUE</definedName>
    <definedName name="kyd.SelectString.01." hidden="1">"*"</definedName>
    <definedName name="Name1" hidden="1">{"cot1",#N/A,FALSE,"Cottages";"cot2",#N/A,FALSE,"Cottages";"cot3",#N/A,FALSE,"Cottages"}</definedName>
    <definedName name="newrange" hidden="1">{"Annual Cash Flows",#N/A,FALSE,"Annual Summary"}</definedName>
    <definedName name="no" hidden="1">{"Assumptions",#N/A,FALSE,"Assumptions"}</definedName>
    <definedName name="_xlnm.Print_Area" localSheetId="6">'Entitlement Gantt Chart'!$B$2:$Q$68</definedName>
    <definedName name="_xlnm.Print_Area" localSheetId="4">'Land Comps'!$A$1:$K$37</definedName>
    <definedName name="_xlnm.Print_Area" localSheetId="2">'Lot Pricing Worksheet'!$A$1:$P$12</definedName>
    <definedName name="_xlnm.Print_Area" localSheetId="1">Proforma!$A$1:$BM$103</definedName>
    <definedName name="_xlnm.Print_Area" localSheetId="0">SUMMARY!$A$1:$U$49</definedName>
    <definedName name="_xlnm.Print_Titles" localSheetId="6">'Entitlement Gantt Chart'!$B:$D,'Entitlement Gantt Chart'!$2:$4</definedName>
    <definedName name="_xlnm.Print_Titles" localSheetId="1">Proforma!$A:$C,Proforma!$1:$5</definedName>
    <definedName name="RiskExcelReportsGoInNewWorkbook">FALSE</definedName>
    <definedName name="RiskMinimizeOnStart">FALSE</definedName>
    <definedName name="RiskMonitorConvergence">FALSE</definedName>
    <definedName name="RiskPauseOnError">FALSE</definedName>
    <definedName name="RiskRealTimeResults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sdgsd" hidden="1">{#N/A,#N/A,FALSE,"Summary 1";#N/A,#N/A,FALSE,"Summary 2";#N/A,#N/A,FALSE,"Emp Count";#N/A,#N/A,FALSE,"M&amp;A";#N/A,#N/A,FALSE,"Beachclub Ops";#N/A,#N/A,FALSE,"Golf Ops";#N/A,#N/A,FALSE,"Golf Maint";#N/A,#N/A,FALSE,"Food &amp; Bev";#N/A,#N/A,FALSE,"OP";#N/A,#N/A,FALSE,"Spa"}</definedName>
    <definedName name="solver_adj" localSheetId="0" hidden="1">SUMMARY!$X$24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in" localSheetId="0" hidden="1">2</definedName>
    <definedName name="solver_neg" localSheetId="0" hidden="1">2</definedName>
    <definedName name="solver_num" localSheetId="0" hidden="1">0</definedName>
    <definedName name="solver_nwt" localSheetId="0" hidden="1">1</definedName>
    <definedName name="solver_opt" localSheetId="0" hidden="1">SUMMARY!$AC$66</definedName>
    <definedName name="solver_pre" localSheetId="0" hidden="1">0.000001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3</definedName>
    <definedName name="solver_val" localSheetId="0" hidden="1">2000000</definedName>
    <definedName name="Statements" hidden="1">{"CF",#N/A,FALSE,"Cash Flow";"RET",#N/A,FALSE,"Returns";"NPV",#N/A,FALSE,"Values";"ASMPT",#N/A,FALSE,"Assumptions"}</definedName>
    <definedName name="unknown" hidden="1">{#N/A,#N/A,FALSE,"Summary 1";#N/A,#N/A,FALSE,"Summary 2";#N/A,#N/A,FALSE,"Emp Count";#N/A,#N/A,FALSE,"M&amp;A";#N/A,#N/A,FALSE,"Beachclub Ops";#N/A,#N/A,FALSE,"Golf Ops";#N/A,#N/A,FALSE,"Golf Maint";#N/A,#N/A,FALSE,"Food &amp; Bev";#N/A,#N/A,FALSE,"OP";#N/A,#N/A,FALSE,"Spa"}</definedName>
    <definedName name="unknown2" hidden="1">{"Construction Costs",#N/A,FALSE,"Total Costs"}</definedName>
    <definedName name="weird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eird1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eird2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LL._.PAGES." hidden="1">{"cashcons",#N/A,FALSE,"CASHCONS";"cash7000",#N/A,FALSE,"CASH7000";"cash9000",#N/A,FALSE,"CASH9000";"assu7000",#N/A,FALSE,"ASSU7000";"assu9000",#N/A,FALSE,"ASSU9000";"rentroll",#N/A,FALSE,"RENTROLL";"expr7000",#N/A,FALSE,"EXPR7000";"expr9000",#N/A,FALSE,"EXPR9000"}</definedName>
    <definedName name="wrn.Annual._.Summary." hidden="1">{"Annual Cash Flows",#N/A,FALSE,"Annual Summary"}</definedName>
    <definedName name="wrn.Assumptions." hidden="1">{"Assumptions",#N/A,FALSE,"Assumptions"}</definedName>
    <definedName name="wrn.Budgets." hidden="1">{#N/A,#N/A,FALSE,"Cover";#N/A,#N/A,FALSE,"100 - Budget 2003";#N/A,#N/A,FALSE,"200 - Budget 2003";#N/A,#N/A,FALSE,"300 - Budget 2003";#N/A,#N/A,FALSE,"400 - Budget 2003";#N/A,#N/A,FALSE,"500 - Budget 2003";#N/A,#N/A,FALSE,"600 - Budget 2003";#N/A,#N/A,FALSE,"700 - Budget 2003";#N/A,#N/A,FALSE,"800 - Budget 2003"}</definedName>
    <definedName name="wrn.Cash._.Flow._.Analysis." hidden="1">{"CF",#N/A,FALSE,"Cash Flow";"RET",#N/A,FALSE,"Returns";"NPV",#N/A,FALSE,"Values";"ASMPT",#N/A,FALSE,"Assumptions"}</definedName>
    <definedName name="wrn.COMPLETE." hidden="1">{#N/A,#N/A,FALSE,"COVER SHEET";#N/A,#N/A,FALSE,"SECT 1 - SUMM";#N/A,#N/A,FALSE,"SECT 1 - LND PLAN";#N/A,#N/A,FALSE,"SECT 2 - COMBINED QTRLY PROJ CF";#N/A,#N/A,FALSE,"SECT 2 - KUKIO CF";#N/A,#N/A,FALSE,"SECT 2 - MANINI CF";#N/A,#N/A,FALSE,"SECT 5a - CLUB ASSUMPTIONS";#N/A,#N/A,FALSE,"SECT 5 - QTRLY CLUB OPS"}</definedName>
    <definedName name="wrn.Construction._.Costs." hidden="1">{"Construction Costs",#N/A,FALSE,"Total Costs"}</definedName>
    <definedName name="wrn.Cottage._.Summary." hidden="1">{"cot1",#N/A,FALSE,"Cottages";"cot2",#N/A,FALSE,"Cottages";"cot3",#N/A,FALSE,"Cottages"}</definedName>
    <definedName name="wrn.Downside." hidden="1">{"Downside",#N/A,FALSE,"Downside"}</definedName>
    <definedName name="wrn.FCG." hidden="1">{#N/A,#N/A,TRUE,"Title Page";#N/A,#N/A,TRUE,"Executive Summary";#N/A,#N/A,TRUE,"Cash Flow";#N/A,#N/A,TRUE,"Exp Detail";#N/A,#N/A,TRUE,"Pricing Matrix";#N/A,#N/A,TRUE,"Value Matrix";#N/A,#N/A,TRUE,"Assumptions";#N/A,#N/A,TRUE,"Vacant Space";#N/A,#N/A,TRUE,"2nd Generation";#N/A,#N/A,TRUE,"Existing vs Mkt";#N/A,#N/A,TRUE,"Expiration Schedule";#N/A,#N/A,TRUE,"Expiration Graph ";#N/A,#N/A,TRUE,"Residual - Marketing";#N/A,#N/A,TRUE,"Vacancy Detail"}</definedName>
    <definedName name="wrn.Golf._.Summary." hidden="1">{"View1",#N/A,FALSE,"Golf";"View2",#N/A,FALSE,"Golf";"View3",#N/A,FALSE,"Golf";"View4",#N/A,FALSE,"Golf";"View5",#N/A,FALSE,"Golf";"View6",#N/A,FALSE,"Golf";"View7",#N/A,FALSE,"Golf";"View8",#N/A,FALSE,"Golf";"View9",#N/A,FALSE,"Golf";"View10",#N/A,FALSE,"Golf";"View11",#N/A,FALSE,"Golf";"View12",#N/A,FALSE,"Golf"}</definedName>
    <definedName name="wrn.Land._.Takedown._.Summary." hidden="1">{"land1",#N/A,FALSE,"Land";"land2",#N/A,FALSE,"Land";"land3",#N/A,FALSE,"Land"}</definedName>
    <definedName name="wrn.Lot._.Inventory." hidden="1">{"lot inventory",#N/A,FALSE,"Lot List"}</definedName>
    <definedName name="wrn.Lot._.Summary." hidden="1">{"Lot Prices",#N/A,FALSE,"LOTS-PRICING";"lot1",#N/A,FALSE,"Lots";"lot2",#N/A,FALSE,"Lots";"Lot3",#N/A,FALSE,"Lots";"lot4",#N/A,FALSE,"Lots";"lot5",#N/A,FALSE,"Lots";"lot6",#N/A,FALSE,"Lots";"lot7",#N/A,FALSE,"Lots";"lot8",#N/A,FALSE,"Lots";"lot9",#N/A,FALSE,"Lots";"lot10",#N/A,FALSE,"Lots";"lot11",#N/A,FALSE,"Lots";"lot12",#N/A,FALSE,"Lots"}</definedName>
    <definedName name="wrn.print." hidden="1">{"page1",#N/A,FALSE,"Sheet1";"page2",#N/A,FALSE,"Sheet1"}</definedName>
    <definedName name="wrn.Print._.Entire._.Workbook." hidden="1">{"Assumptions",#N/A,TRUE,"Assumptions";"qtrl1",#N/A,TRUE,"Annual Summary";"qtrl2",#N/A,TRUE,"Annual Summary";"qtrl3",#N/A,TRUE,"Annual Summary";"qtrl4",#N/A,TRUE,"QTLY Summary";"qtrl5",#N/A,TRUE,"QTLY Summary";"qtrl6",#N/A,TRUE,"QTLY Summary";"Lot Prices",#N/A,TRUE,"Annual Summary";"Construction Costs",#N/A,TRUE,"Annual Summary";"land1",#N/A,TRUE,"Annual Summary";"land2",#N/A,TRUE,"Annual Summary";"land3",#N/A,TRUE,"Annual Summary";"lot1",#N/A,TRUE,"Annual Summary";"lot2",#N/A,TRUE,"Annual Summary";"Lot3",#N/A,TRUE,"Annual Summary";"lot4",#N/A,TRUE,"Annual Summary";"lot5",#N/A,TRUE,"Annual Summary";"lot6",#N/A,TRUE,"Annual Summary";"lot7",#N/A,TRUE,"Annual Summary";"lot8",#N/A,TRUE,"Annual Summary";"lot9",#N/A,TRUE,"Annual Summary";"lot10",#N/A,TRUE,"Annual Summary";"lot11",#N/A,TRUE,"Annual Summary";"lot12",#N/A,TRUE,"Annual Summary";"lot inventory",#N/A,TRUE,"Annual Summary";"scen1",#N/A,TRUE,"Annual Summary";"scen2",#N/A,TRUE,"Annual Summary";"View1",#N/A,TRUE,"Annual Summary";"View2",#N/A,TRUE,"Annual Summary";"View3",#N/A,TRUE,"Annual Summary";"View4",#N/A,TRUE,"Annual Summary";"View5",#N/A,TRUE,"Annual Summary";"View6",#N/A,TRUE,"Annual Summary";"View7",#N/A,TRUE,"Annual Summary";"View8",#N/A,TRUE,"Annual Summary";"View9",#N/A,TRUE,"Annual Summary";"View10",#N/A,TRUE,"Annual Summary";"View11",#N/A,TRUE,"Annual Summary";"View12",#N/A,TRUE,"Annual Summary";"cot1",#N/A,TRUE,"Annual Summary";"cot2",#N/A,TRUE,"Annual Summary";"cot3",#N/A,TRUE,"Annual Summary"}</definedName>
    <definedName name="wrn.PrintAll." hidden="1">{#N/A,#N/A,FALSE,"Broker Sheet";#N/A,#N/A,FALSE,"Exec.Summary";#N/A,#N/A,FALSE,"Argus Cash Flow";#N/A,#N/A,FALSE,"SPF";#N/A,#N/A,FALSE,"RentRoll"}</definedName>
    <definedName name="wrn.Proposal." hidden="1">{"Bid",#N/A,FALSE,"Estimate";"Breakdowm",#N/A,FALSE,"Estimate"}</definedName>
    <definedName name="wrn.Quarterly._.Summary." hidden="1">{"qtrl1",#N/A,TRUE,"Annual Summary";"qtrl2",#N/A,TRUE,"Annual Summary";"qtrl3",#N/A,TRUE,"Annual Summary";"qtrl4",#N/A,TRUE,"QTLY Summary";"qtrl5",#N/A,TRUE,"QTLY Summary";"qtrl6",#N/A,TRUE,"QTLY Summary"}</definedName>
    <definedName name="wrn.Scenario." hidden="1">{"scen1",#N/A,FALSE,"Scenarios";"scen2",#N/A,FALSE,"Scenarios"}</definedName>
    <definedName name="wrn.Sr.._.Manage.._.Summary." hidden="1">{#N/A,#N/A,FALSE,"Cover";#N/A,#N/A,FALSE,"Comparison";#N/A,#N/A,FALSE,"Summ Dept";#N/A,#N/A,FALSE,"Emp Count"}</definedName>
    <definedName name="wrn.Summary." hidden="1">{"Annual Cash Flows",#N/A,FALSE,"Annual Summary";"qtrl1",#N/A,FALSE,"QTLY Summary";"qtrl2",#N/A,FALSE,"QTLY Summary";"qtrl3",#N/A,FALSE,"QTLY Summary";"qtrl4",#N/A,FALSE,"QTLY Summary";"qtrl5",#N/A,FALSE,"QTLY Summary";"qtrl6",#N/A,FALSE,"QTLY Summary"}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</definedNames>
  <calcPr calcId="191029" iterate="1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<sst xmlns="http://schemas.openxmlformats.org/spreadsheetml/2006/main" count="929" uniqueCount="389">
  <si>
    <t>Lot Number</t>
  </si>
  <si>
    <t>Marketing</t>
  </si>
  <si>
    <t>Net Sales Proceeds</t>
  </si>
  <si>
    <t>Lot Sales</t>
  </si>
  <si>
    <t>Average Lot Sales Price</t>
  </si>
  <si>
    <t>Gross Lot Sales Proceeds</t>
  </si>
  <si>
    <t>USES</t>
  </si>
  <si>
    <t>SOURCES</t>
  </si>
  <si>
    <t>Net cash flow to Equity</t>
  </si>
  <si>
    <t>Sales Price Inflator</t>
  </si>
  <si>
    <t>Totals</t>
  </si>
  <si>
    <t>Years</t>
  </si>
  <si>
    <t>Cumulative Cash Flow</t>
  </si>
  <si>
    <t>GENERAL ASSUMPTIONS</t>
  </si>
  <si>
    <t>Analysis Start Date</t>
  </si>
  <si>
    <t>Month One of the Analysis</t>
  </si>
  <si>
    <t>End Period of Project</t>
  </si>
  <si>
    <t>Net Cash Flow</t>
  </si>
  <si>
    <t>Lot Sale Detail</t>
  </si>
  <si>
    <t>SOURCES AND USES</t>
  </si>
  <si>
    <t>Month</t>
  </si>
  <si>
    <t>Period</t>
  </si>
  <si>
    <t>Lot Price</t>
  </si>
  <si>
    <t>Revenue</t>
  </si>
  <si>
    <t>Sources</t>
  </si>
  <si>
    <t>Total Sources</t>
  </si>
  <si>
    <t>Uses</t>
  </si>
  <si>
    <t>Total Uses</t>
  </si>
  <si>
    <t>Year</t>
  </si>
  <si>
    <t>Date</t>
  </si>
  <si>
    <t>Lot Sale Revenue</t>
  </si>
  <si>
    <t>Project Cost Detail</t>
  </si>
  <si>
    <t>Total Project Cost</t>
  </si>
  <si>
    <t>Project Costs</t>
  </si>
  <si>
    <t>Sale Price</t>
  </si>
  <si>
    <t>Average Sale Price Per Lot</t>
  </si>
  <si>
    <t>Sale</t>
  </si>
  <si>
    <t>Commission</t>
  </si>
  <si>
    <t>Net</t>
  </si>
  <si>
    <t>LOT ABSORPTION ASSUMPTIONS</t>
  </si>
  <si>
    <t>Total Lot Sales - Gross</t>
  </si>
  <si>
    <t>LOT MIX - PRICING DETAIL</t>
  </si>
  <si>
    <t>Percent</t>
  </si>
  <si>
    <t>Number of Lots</t>
  </si>
  <si>
    <t>Total Sales</t>
  </si>
  <si>
    <t>Scenario Selected</t>
  </si>
  <si>
    <t>Lot Absorption (Months)</t>
  </si>
  <si>
    <t>Grade</t>
  </si>
  <si>
    <t>Multiple</t>
  </si>
  <si>
    <t>Peak Equity</t>
  </si>
  <si>
    <t>Profit Margin</t>
  </si>
  <si>
    <t>Average</t>
  </si>
  <si>
    <t>Price</t>
  </si>
  <si>
    <t>Lot Pricing Scenario Detail</t>
  </si>
  <si>
    <t>Percent of Lot Price</t>
  </si>
  <si>
    <t>Lake Kai</t>
  </si>
  <si>
    <t>Address</t>
  </si>
  <si>
    <t>City</t>
  </si>
  <si>
    <t>State</t>
  </si>
  <si>
    <t>Date Sold</t>
  </si>
  <si>
    <t>Sales Price</t>
  </si>
  <si>
    <t>Notes</t>
  </si>
  <si>
    <t>Beacon Link</t>
  </si>
  <si>
    <t>105 Emma Ln.</t>
  </si>
  <si>
    <t>Michigan City</t>
  </si>
  <si>
    <t>IN</t>
  </si>
  <si>
    <t>No</t>
  </si>
  <si>
    <t>Entitled land purchase. Beachwalk neighborhood - amenities.</t>
  </si>
  <si>
    <t>Beacon - LaPorte County, IN - Report: 460121476026000022</t>
  </si>
  <si>
    <t>106 Matt Ln.</t>
  </si>
  <si>
    <t>Beacon - LaPorte County, IN - Report: 460121476023000022</t>
  </si>
  <si>
    <t>Yes</t>
  </si>
  <si>
    <t>Entitled land purchase. Beachwalk neighborhood - amenities. Lakefront lot.</t>
  </si>
  <si>
    <t>101 Whisper Dunes Dr.</t>
  </si>
  <si>
    <t>Entitled land purchase. Whisper Dunes neighborhood - No neighborhood amenities.</t>
  </si>
  <si>
    <t>Beacon - LaPorte County, IN - Report: 460121426126000022</t>
  </si>
  <si>
    <t>408 Beachwalk Ln.</t>
  </si>
  <si>
    <t>Beacon - LaPorte County, IN - Report: 460121476078000022</t>
  </si>
  <si>
    <t>105 Whisper Dunes Dr.</t>
  </si>
  <si>
    <t>Beacon - LaPorte County, IN - Report: 460121426128000022</t>
  </si>
  <si>
    <t>108 Whisper Dunes Dr.</t>
  </si>
  <si>
    <t>Beacon - LaPorte County, IN - Report: 460121426134000022</t>
  </si>
  <si>
    <t>107 Whisper Dunes Dr.</t>
  </si>
  <si>
    <t>Beacon - LaPorte County, IN - Report: 460121426129000022</t>
  </si>
  <si>
    <t>Entitlement</t>
  </si>
  <si>
    <t>Residential Market Study</t>
  </si>
  <si>
    <t>Boundary &amp; Topographic Survey</t>
  </si>
  <si>
    <t>Conceptual Civil Engineering</t>
  </si>
  <si>
    <t>Planning / Zoning Consultant</t>
  </si>
  <si>
    <t>Environmental Phase I</t>
  </si>
  <si>
    <t>Wetlands Delineation</t>
  </si>
  <si>
    <t>Traffic Memo (Concept Level)</t>
  </si>
  <si>
    <t>Legal (Entitlement Strategy, Filings, etc.)</t>
  </si>
  <si>
    <t>Detailed Civil Engineering (Primary Plan, Lake Design, Utilities)</t>
  </si>
  <si>
    <t>Stormwater / Hydrology Model</t>
  </si>
  <si>
    <t>Landscape Architecture (Buffers, Lake Edgees, Open Space)</t>
  </si>
  <si>
    <t>Geotechnical Borings &amp; Reports</t>
  </si>
  <si>
    <t>Traffic Study (Full)</t>
  </si>
  <si>
    <t>Public Hearing Support</t>
  </si>
  <si>
    <t>Legal (Hearings, Negotiations, Approvals)</t>
  </si>
  <si>
    <t>Final Construction Drawings</t>
  </si>
  <si>
    <t>Engineer Revisions / Agency Comments to Construction Plan</t>
  </si>
  <si>
    <t>Cost Estimates (For Lenders / Buyers)</t>
  </si>
  <si>
    <t>Secondary Plat Survey &amp; Legal Descriptions</t>
  </si>
  <si>
    <t>Civil Revisions (Secondary Plan)</t>
  </si>
  <si>
    <t>Plan Committee / Commission Filings</t>
  </si>
  <si>
    <t>Legal (Approvals, Recordation)</t>
  </si>
  <si>
    <t>Hard Costs</t>
  </si>
  <si>
    <t>Soft Costs</t>
  </si>
  <si>
    <t>Legal &amp; Accounting</t>
  </si>
  <si>
    <t>Title &amp; Survey</t>
  </si>
  <si>
    <t>Construction Management Fee (1.5% of Hard Costs)</t>
  </si>
  <si>
    <t>Testing &amp; Inspections</t>
  </si>
  <si>
    <t>Real Estate Taxes</t>
  </si>
  <si>
    <t>Insurance</t>
  </si>
  <si>
    <t>Permits/Fees</t>
  </si>
  <si>
    <t>Construction Period Utilities</t>
  </si>
  <si>
    <t>Appraisals</t>
  </si>
  <si>
    <t>Utility Relocation/Service</t>
  </si>
  <si>
    <t>Subtotal Costs</t>
  </si>
  <si>
    <t>Net Cash Flow to Equity</t>
  </si>
  <si>
    <t>814 Washington Park Blvd.</t>
  </si>
  <si>
    <t>Beacon - LaPorte County, IN - Report: 460121476116000022</t>
  </si>
  <si>
    <t>816 Washington Park Blvd.</t>
  </si>
  <si>
    <t>Beacon - LaPorte County, IN - Report: 460121476117000022</t>
  </si>
  <si>
    <t>818 Washington Park Blvd.</t>
  </si>
  <si>
    <t>Beacon - LaPorte County, IN - Report: 460121476118000022</t>
  </si>
  <si>
    <t>Per Lot</t>
  </si>
  <si>
    <t xml:space="preserve">Entitlement </t>
  </si>
  <si>
    <t>Developer Fee</t>
  </si>
  <si>
    <t>Profit Anlaysis Summary</t>
  </si>
  <si>
    <t>Lot Sales - Closing Costs</t>
  </si>
  <si>
    <t>PROFIT ANALYSIS SUMMARY</t>
  </si>
  <si>
    <t>Sales Proceeds</t>
  </si>
  <si>
    <t>Less Closing Costs (6%)</t>
  </si>
  <si>
    <t>Lake Kai - Subdivision Entitlement Process</t>
  </si>
  <si>
    <t>Days</t>
  </si>
  <si>
    <t>Cumulative Days</t>
  </si>
  <si>
    <t>Major Subdivision Process</t>
  </si>
  <si>
    <t>Administrative review of concept plan</t>
  </si>
  <si>
    <t>Preliminary plat application</t>
  </si>
  <si>
    <t>Administrative review</t>
  </si>
  <si>
    <t>Provide development plan (edits to primary plan based off of administrative review)</t>
  </si>
  <si>
    <t xml:space="preserve">Public hearing (plan commission) </t>
  </si>
  <si>
    <t>Plan commission approval of primary plat</t>
  </si>
  <si>
    <t>Approval of construction plans</t>
  </si>
  <si>
    <t>Presale of lots</t>
  </si>
  <si>
    <t>Secondary plat application</t>
  </si>
  <si>
    <t>Plan committee review</t>
  </si>
  <si>
    <t>Plan commission approval of secondary plat</t>
  </si>
  <si>
    <t>Michigan City Common Council approval (in the case of a PUD)</t>
  </si>
  <si>
    <t>Monthly Spend</t>
  </si>
  <si>
    <t>Cummulative Spend</t>
  </si>
  <si>
    <t>Detailed Civil Engineering (Primary Plat, Lake Design, Utilities)</t>
  </si>
  <si>
    <t>Landscape Architecture (Buffers, Lake Edges, Open Space)</t>
  </si>
  <si>
    <t>Cost Estimates (For Lender / Buyers)</t>
  </si>
  <si>
    <t>Brokerage / Presale Support (Marketing, Contracts, etc)</t>
  </si>
  <si>
    <t>Civil Revisions (Secondary Plat)</t>
  </si>
  <si>
    <t>https://library.municode.com/in/michigan_city/codes/code_of_ordinances?nodeId=MICHIGAN_INDIANA_CODE_APXBSUOR_ART04MASUREAPPR</t>
  </si>
  <si>
    <t>Sensitivity Toggles</t>
  </si>
  <si>
    <t>LAKE KAI RESORT VACANTION COMMUNITY CONCEPT SITE PLAN</t>
  </si>
  <si>
    <t>TRANSACTION SUMMARY</t>
  </si>
  <si>
    <t>Reasons for Developing:</t>
  </si>
  <si>
    <t>Owner / Developer:</t>
  </si>
  <si>
    <t>Closing Date:</t>
  </si>
  <si>
    <t>Expected Investment Period (Years)</t>
  </si>
  <si>
    <t>NWI Development Group</t>
  </si>
  <si>
    <t>Fund Investment</t>
  </si>
  <si>
    <t>LAND ALLOCATION</t>
  </si>
  <si>
    <t>LOTS</t>
  </si>
  <si>
    <t>SF</t>
  </si>
  <si>
    <t>DIMENSIONS  W x D</t>
  </si>
  <si>
    <t>NOTES</t>
  </si>
  <si>
    <t>Clearing, Grubbing, Rough Grading (Month 1)</t>
  </si>
  <si>
    <t>Mass Grading / Dune Sensitivity Work (Month 2 and 3)</t>
  </si>
  <si>
    <t>Roadways (24' asphalt, curb, base) (Months 3 - 7)</t>
  </si>
  <si>
    <t>Sidewalks / Paths / Trails (Months 7 - 12)</t>
  </si>
  <si>
    <t>Water System (Months 3 - 12)</t>
  </si>
  <si>
    <t>Sanitary Sewer (Months 3 - 12)</t>
  </si>
  <si>
    <t>Stormwater (Months 3 - 12)</t>
  </si>
  <si>
    <t>Dry Utilities (electric, gas, fiber) (Months 3 - 12)</t>
  </si>
  <si>
    <t>Street Lighting (Months 3 - 12)</t>
  </si>
  <si>
    <t>Landscaping / Entry Features (Months 8 - 12)</t>
  </si>
  <si>
    <t>Pool, Deck and Equipment (Months 8 - 12)</t>
  </si>
  <si>
    <t>South Commons (maintenance/storage) (Months 4 - 12)</t>
  </si>
  <si>
    <t>Site Furnishings (docks, fire pits, seating, trails) (Months 10 - 12)</t>
  </si>
  <si>
    <t>Price PSF</t>
  </si>
  <si>
    <t>Development Phase</t>
  </si>
  <si>
    <t>Construction</t>
  </si>
  <si>
    <t>MI</t>
  </si>
  <si>
    <t>Lake Michigan Lakefront Property</t>
  </si>
  <si>
    <t xml:space="preserve"> Lakefront Property</t>
  </si>
  <si>
    <t>Entitled land purchase. Located on Lake Michigan.</t>
  </si>
  <si>
    <t>3873 Lake Shore Dr.</t>
  </si>
  <si>
    <t>New Buffalo</t>
  </si>
  <si>
    <t>Beacon - Berrien County, MI - Map</t>
  </si>
  <si>
    <t>Lake Shore Dr.</t>
  </si>
  <si>
    <t>10597 Marquette Dr</t>
  </si>
  <si>
    <t>Union Pier</t>
  </si>
  <si>
    <t>Entitled land purchase.</t>
  </si>
  <si>
    <t>Beacon - Berrien County, MI - Report: 11-13-5750-0005-00-3</t>
  </si>
  <si>
    <t>18801 Leonard Ct.</t>
  </si>
  <si>
    <t>Cottage Camp</t>
  </si>
  <si>
    <t>Beacon - LaPorte County, IN - Report: 460121476063000022</t>
  </si>
  <si>
    <t>Beacon - LaPorte County, IN - Report: 460121476064000022</t>
  </si>
  <si>
    <t>Beacon - LaPorte County, IN - Report: 460121476065000022</t>
  </si>
  <si>
    <t>Beacon - LaPorte County, IN - Report: 460121476066000022</t>
  </si>
  <si>
    <t>Camp Court</t>
  </si>
  <si>
    <t>Beacon - LaPorte County, IN - Report: 460121476067000022</t>
  </si>
  <si>
    <t>Lakefront Lots - Average</t>
  </si>
  <si>
    <t>Non-Lakefront Lots - Average</t>
  </si>
  <si>
    <t>AVERAGE</t>
  </si>
  <si>
    <t>1526 Lakeshore Dr</t>
  </si>
  <si>
    <t>Located on Lake Michigan. Being marketed as a teardown. Asking price is $1.2M.</t>
  </si>
  <si>
    <t>Beacon - LaPorte County, IN - Report: 460121254004000022</t>
  </si>
  <si>
    <t>1612 Lakeshore Dr.</t>
  </si>
  <si>
    <t>Located on lake Michigan. Purchased with home; structure demolished and sale reflects land value.</t>
  </si>
  <si>
    <t>Beacon - LaPorte County, IN - Report: 460121227003000022</t>
  </si>
  <si>
    <t>Lakeshore Dr</t>
  </si>
  <si>
    <t>Beacon - LaPorte County, IN - Report: 460121314057000022</t>
  </si>
  <si>
    <t>1417 Lakeshore Dr.</t>
  </si>
  <si>
    <t>Long Beach</t>
  </si>
  <si>
    <t>Beacon - LaPorte County, IN - Report: 460122105010000023</t>
  </si>
  <si>
    <t>1409 Lakeshore Dr.</t>
  </si>
  <si>
    <t>Beacon - LaPorte County, IN - Report: 460122105005000023</t>
  </si>
  <si>
    <t>Lake Kai PUD Comps</t>
  </si>
  <si>
    <t>Lot Acreage</t>
  </si>
  <si>
    <t>Price Per SF</t>
  </si>
  <si>
    <t>Year Built</t>
  </si>
  <si>
    <t>307 Childers Ln.</t>
  </si>
  <si>
    <t>For Sale</t>
  </si>
  <si>
    <t>5 bed / 5 bath. Located in Beachwalk neighborhood.</t>
  </si>
  <si>
    <t>812 Washington Park Blvd.</t>
  </si>
  <si>
    <t>5 bed / 3.5 bath. Beachwood neighborhood. Uses Beachwalk amenities. 0.2 miles from Lakefront.</t>
  </si>
  <si>
    <t>810 Washington Park Blvd.</t>
  </si>
  <si>
    <t>5 bed / 3 bath. Beachwood neighborhood. Uses Beachwalk amenities. 0.2 miles from Lakefront.</t>
  </si>
  <si>
    <t>212 Mary Ln.</t>
  </si>
  <si>
    <t>6 bed / 4.5 bath. Beachwalk neighborhood. 4 blocks from lakefront.</t>
  </si>
  <si>
    <t>213 Beachwalk Ln.</t>
  </si>
  <si>
    <t>6 bed / 5 bath. Beachwalk neighborhood. 1 block from lakefront.</t>
  </si>
  <si>
    <t>128 Childers Ln.</t>
  </si>
  <si>
    <t>5 bed / 4 bath. Located in Beachwalk neigborhood.</t>
  </si>
  <si>
    <t>218 Beackwalk Ln.</t>
  </si>
  <si>
    <t>4 bed / 3 bath. Lakefront property in Beachwalk neighborhood.</t>
  </si>
  <si>
    <t>400 Beachwalk Ln.</t>
  </si>
  <si>
    <t>4 bed / 4 bath. Lakefront property in Beachwalk neighborhood.</t>
  </si>
  <si>
    <t>322 Beachwalk Ln.</t>
  </si>
  <si>
    <t>Local Comps</t>
  </si>
  <si>
    <t>102 Whisper Dunes Dr.</t>
  </si>
  <si>
    <t>4 bed / 3 bath. Located in Whisper Dunes neighborhood. No amenities.</t>
  </si>
  <si>
    <t>1852 Lakeshore Dr.</t>
  </si>
  <si>
    <t>4 bed / 3.5 bath. Located on Lake Michigan.</t>
  </si>
  <si>
    <t>508 Colfax Ave.</t>
  </si>
  <si>
    <t>3 bed / 2 bath. Sheridan Beach neighborhood. Located on Lake Michigan.</t>
  </si>
  <si>
    <t>209 Louisiana Ave.</t>
  </si>
  <si>
    <t>4 bed / 4.5 bath. Sheridan Beach neighborhood. Located on Lake Michigan.</t>
  </si>
  <si>
    <t>1514 Lake Shore Dr.</t>
  </si>
  <si>
    <t>5 bed / 3.5 bath. Located in the Sheridan Beach neighborhood. Located on Lake Michigan.</t>
  </si>
  <si>
    <t>2228 Lake Shore Dr.</t>
  </si>
  <si>
    <t>2224 Lake Shore Dr.</t>
  </si>
  <si>
    <t>4 bed / 2 bath. Located on Lake Michigan.</t>
  </si>
  <si>
    <t>113 Hazelwood Trl.</t>
  </si>
  <si>
    <t>4 bed / 3 bath. Located in Shoreland Hills neighborhood. 0.3 miles from Lake Michigan.</t>
  </si>
  <si>
    <t>1625 Lake Shore Dr.</t>
  </si>
  <si>
    <t>3 bed / 3 bath. Located on Lake Michigan.</t>
  </si>
  <si>
    <t>2055 Lake Shore Dr.</t>
  </si>
  <si>
    <t>4 bed / 4.5 bath. Located on Lake Michigan.</t>
  </si>
  <si>
    <t>1018 Lake Shore Dr.</t>
  </si>
  <si>
    <t xml:space="preserve">4 bed / 3.5 bath. Located on Lake Michigan. </t>
  </si>
  <si>
    <t>2202 Lake Shore Dr.</t>
  </si>
  <si>
    <t>Lot Area 
(SF)</t>
  </si>
  <si>
    <t>204 Mary Ln.</t>
  </si>
  <si>
    <t>420 Beachwalk Ln.</t>
  </si>
  <si>
    <t>212 Beachwalk Ln.</t>
  </si>
  <si>
    <t>3 bed / 3 bath. Located in Beachwalk neighborhood.</t>
  </si>
  <si>
    <t>4 bed / 4.5 bath. Located in Beachwalk neighborhood.</t>
  </si>
  <si>
    <t>108 Beachwalk Ln.</t>
  </si>
  <si>
    <t>205 Beachwalk Ln.</t>
  </si>
  <si>
    <t>328 Beachwalk Ln.</t>
  </si>
  <si>
    <t>1209 Lakeshore Dr.</t>
  </si>
  <si>
    <t>3 bed / 4 bath. Located south of Lake Shore Drive on Lake Michigan.</t>
  </si>
  <si>
    <t>5 bed / 4.5 bath. Located in Whisper Dunes neighborhood. No amenities.</t>
  </si>
  <si>
    <t>905 Colfax Ave.</t>
  </si>
  <si>
    <t>118 N Lake Ave.</t>
  </si>
  <si>
    <t>6 bed / 4 bath. No amenities; four houses in from Lake Michigan beachfront.</t>
  </si>
  <si>
    <t>1705 Lake Shore Dr.</t>
  </si>
  <si>
    <t>5 bed / 3.5 bath. Located south of Lake Michigan along Lake Shore Drive.</t>
  </si>
  <si>
    <t xml:space="preserve">For Sale </t>
  </si>
  <si>
    <t>Price per 
Land SF</t>
  </si>
  <si>
    <t>103 Whisper Dunes Dr.</t>
  </si>
  <si>
    <t>Beacon - LaPorte County, IN - Report: 460121426127000022</t>
  </si>
  <si>
    <t>110 Whisper Dunes Dr.</t>
  </si>
  <si>
    <t>Beacon - LaPorte County, IN - Report: 460121426135000022</t>
  </si>
  <si>
    <t>Beacon - LaPorte County, IN - Report: 460121426131000022</t>
  </si>
  <si>
    <t>106 Whisper Dunes Dr.</t>
  </si>
  <si>
    <t>Beacon - LaPorte County, IN - Report: 460121426133000022</t>
  </si>
  <si>
    <t>104 Whisper Dunes Dr.</t>
  </si>
  <si>
    <t>Beacon - LaPorte County, IN - Report: 460121426132000022</t>
  </si>
  <si>
    <t>100 Whisper Dunes Dr.</t>
  </si>
  <si>
    <t>Beacon - LaPorte County, IN - Report: 460121426130000022</t>
  </si>
  <si>
    <t>Discount Rate</t>
  </si>
  <si>
    <t>All Cash</t>
  </si>
  <si>
    <t>Cumulative Lot Closings</t>
  </si>
  <si>
    <t>Land Value Pre-Entitlement</t>
  </si>
  <si>
    <t>Land Value Post-Entitlement</t>
  </si>
  <si>
    <t xml:space="preserve">Brokerage / Presale Support (Marketing, Contracts, etc.) </t>
  </si>
  <si>
    <t>Lot Closings (Delivery)</t>
  </si>
  <si>
    <t>Lot Sales (Presales/Contract Execution)</t>
  </si>
  <si>
    <t>Developer Fee ($600k over life of project -- 4% of TDC)</t>
  </si>
  <si>
    <t xml:space="preserve">Clubhouse / Amenity Building (Months 4 - 12) </t>
  </si>
  <si>
    <t>Developer Fee ($600k -- 4% of TDC)</t>
  </si>
  <si>
    <t>Avanterra Analysis</t>
  </si>
  <si>
    <t>Home Sale Price</t>
  </si>
  <si>
    <t>Home Construction Cost</t>
  </si>
  <si>
    <t>Inferred Land Value</t>
  </si>
  <si>
    <t>Lake Kai - Lake Front -  Analysis</t>
  </si>
  <si>
    <t>Builder Risk Discount</t>
  </si>
  <si>
    <t>Retail Lot Sale Price</t>
  </si>
  <si>
    <t>Lake Kai - Interior Lot -  Analysis</t>
  </si>
  <si>
    <t>Home Size</t>
  </si>
  <si>
    <t>No. of Lots Contracted/Closed in Year One</t>
  </si>
  <si>
    <t>No. of Lots Contracted/Closed in Year Two</t>
  </si>
  <si>
    <t>*The above Gantt chart does not incorporate the 10% contingency included in the proforma.</t>
  </si>
  <si>
    <t>Design and engineering concluding with submission of concept plan application</t>
  </si>
  <si>
    <t>Lake Kai - Land Valuation Analysis</t>
  </si>
  <si>
    <t>No. of Lots Contracted/Closed in Year Three</t>
  </si>
  <si>
    <t>Development Fee</t>
  </si>
  <si>
    <t xml:space="preserve">   Lake Land Area</t>
  </si>
  <si>
    <t xml:space="preserve">   Upland area</t>
  </si>
  <si>
    <t>Investment Thesis</t>
  </si>
  <si>
    <t>Total Land Area (Acres and sq. ft.)</t>
  </si>
  <si>
    <t>Per total acre</t>
  </si>
  <si>
    <t>per upland acre</t>
  </si>
  <si>
    <t>per total sq. ft.</t>
  </si>
  <si>
    <t>per upland sq. ft.</t>
  </si>
  <si>
    <t xml:space="preserve">Per Lot </t>
  </si>
  <si>
    <t>Bulk Washington Park Blvd.</t>
  </si>
  <si>
    <t>Vacant unentitled land</t>
  </si>
  <si>
    <t>Acres</t>
  </si>
  <si>
    <t>sq. ft.</t>
  </si>
  <si>
    <t>Lots</t>
  </si>
  <si>
    <t>Land Value Pre-Entitlement - Sensitivity Analysis</t>
  </si>
  <si>
    <t>Land Value Post-Entitlement - Sensitivity Analysis</t>
  </si>
  <si>
    <t>Average Lot Price</t>
  </si>
  <si>
    <t>Cummulative Lot Sales (Contract)</t>
  </si>
  <si>
    <t>Rate of Lot Absorption per Month</t>
  </si>
  <si>
    <t>No. of Lots Contracted/Closed in Year Four</t>
  </si>
  <si>
    <t>No. of Lots Contracted/Closed in Year Five</t>
  </si>
  <si>
    <t>Site Acquisition (Month 1 and 13)</t>
  </si>
  <si>
    <t>Unit Type</t>
  </si>
  <si>
    <t>Crescent Homes</t>
  </si>
  <si>
    <t>Court Homes</t>
  </si>
  <si>
    <t>Manor Homes</t>
  </si>
  <si>
    <t>Big House Rental</t>
  </si>
  <si>
    <t>Tree houses</t>
  </si>
  <si>
    <t>Pool Bungalows</t>
  </si>
  <si>
    <t>Lake Cottages</t>
  </si>
  <si>
    <t>Dune Homes</t>
  </si>
  <si>
    <t>Forest Homes</t>
  </si>
  <si>
    <t>Site Acquisition</t>
  </si>
  <si>
    <t>Closing Costs</t>
  </si>
  <si>
    <t>Acquisition Fee</t>
  </si>
  <si>
    <t>-</t>
  </si>
  <si>
    <t>Treehouses</t>
  </si>
  <si>
    <t>VALUE/LOT</t>
  </si>
  <si>
    <t>TOTAL</t>
  </si>
  <si>
    <t>2br, 2 bth</t>
  </si>
  <si>
    <t>2 br, 2.5 bth</t>
  </si>
  <si>
    <t>Lake Cottages (4 pack)</t>
  </si>
  <si>
    <t>Lake Cottages (6 pack)</t>
  </si>
  <si>
    <t>Beds / Bath</t>
  </si>
  <si>
    <t>Cost to Build (PSF)</t>
  </si>
  <si>
    <t>Target Value per Lot</t>
  </si>
  <si>
    <t>Cost to Build per Home</t>
  </si>
  <si>
    <t>4br, 4.5 bth</t>
  </si>
  <si>
    <t>3 br, 3.5 bth</t>
  </si>
  <si>
    <t>2 br, 2 bth</t>
  </si>
  <si>
    <t>2 br, 1 bth</t>
  </si>
  <si>
    <t>3br, 3 bth</t>
  </si>
  <si>
    <t>3 br, 2 bth</t>
  </si>
  <si>
    <t>5 br, 5.5 bth</t>
  </si>
  <si>
    <t>% of Land Value to Home Value</t>
  </si>
  <si>
    <t>Target Value per Home 
(Lot + Build)</t>
  </si>
  <si>
    <t>Value per Home (PSF)</t>
  </si>
  <si>
    <t>Big House Condo</t>
  </si>
  <si>
    <t>UNIT COUNT</t>
  </si>
  <si>
    <t>Total 2027 Lot Value</t>
  </si>
  <si>
    <t>Total 2027 Build Value</t>
  </si>
  <si>
    <t>Total 2027 Home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</si>
</sst>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4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0.00\x"/>
    <numFmt numFmtId="167" formatCode="m/d/yy;@"/>
    <numFmt numFmtId="168" formatCode="_(* #,##0_);_(* \(#,##0\);_(* &quot;-&quot;??_);_(@_)"/>
    <numFmt numFmtId="170" formatCode="#,##0.0_);\(#,##0.0\)"/>
    <numFmt numFmtId="171" formatCode="&quot;$&quot;#,##0;\(&quot;$&quot;#,##0\)"/>
    <numFmt numFmtId="172" formatCode="&quot;$&quot;#,##0.0;\(&quot;$&quot;#,##0.0\)"/>
    <numFmt numFmtId="173" formatCode="&quot;$&quot;#,##0.00;\(&quot;$&quot;#,##0.00\)"/>
    <numFmt numFmtId="174" formatCode="0.0%\ "/>
    <numFmt numFmtId="175" formatCode="0.00\ "/>
    <numFmt numFmtId="176" formatCode="##%\ \ \ \ \ "/>
    <numFmt numFmtId="177" formatCode="#,##0.000;\(#,##0.000\)"/>
    <numFmt numFmtId="178" formatCode="#,##0.00\ ;\(&quot;$&quot;#,##0.00\)"/>
    <numFmt numFmtId="179" formatCode="m/yy"/>
    <numFmt numFmtId="180" formatCode=";;;"/>
    <numFmt numFmtId="181" formatCode="0%\);[Red]\(0%\)"/>
    <numFmt numFmtId="182" formatCode="0.0_)\%;\(0.0\)\%;0.0_)\%;@_)_%"/>
    <numFmt numFmtId="183" formatCode="#,##0.0_)_%;\(#,##0.0\)_%;0.0_)_%;@_)_%"/>
    <numFmt numFmtId="184" formatCode="#,##0.0_);\(#,##0.0\);#,##0.0_);@_)"/>
    <numFmt numFmtId="185" formatCode="&quot;$&quot;_(#,##0.00_);&quot;$&quot;\(#,##0.00\);&quot;$&quot;_(0.00_);@_)"/>
    <numFmt numFmtId="186" formatCode="&quot;$&quot;_(#,##0.00_);&quot;$&quot;\(#,##0.00\)"/>
    <numFmt numFmtId="187" formatCode="#,##0.00_);\(#,##0.00\);0.00_);@_)"/>
    <numFmt numFmtId="188" formatCode="\€_(#,##0.00_);\€\(#,##0.00\);\€_(0.00_);@_)"/>
    <numFmt numFmtId="189" formatCode="#,##0_)\x;\(#,##0\)\x;0_)\x;@_)_x"/>
    <numFmt numFmtId="190" formatCode="#,##0.0_)\x;\(#,##0.0\)\x"/>
    <numFmt numFmtId="191" formatCode="#,##0_)_x;\(#,##0\)_x;0_)_x;@_)_x"/>
    <numFmt numFmtId="192" formatCode="#,##0.0_)_x;\(#,##0.0\)_x"/>
    <numFmt numFmtId="193" formatCode="0.0_)\%;\(0.0\)\%"/>
    <numFmt numFmtId="194" formatCode="#,##0.0_)_%;\(#,##0.0\)_%"/>
    <numFmt numFmtId="195" formatCode="mm/dd/yy"/>
    <numFmt numFmtId="196" formatCode="&quot;$&quot;#,##0.00_);\(#,##0.00\)"/>
    <numFmt numFmtId="197" formatCode="0.0%\ \ "/>
    <numFmt numFmtId="198" formatCode="#,###.0"/>
    <numFmt numFmtId="199" formatCode="#,##0.00;\(#,##0.00\)"/>
    <numFmt numFmtId="200" formatCode="#,##0.0\ \ \ ;\(#,##0.0\)\ "/>
    <numFmt numFmtId="201" formatCode="&quot;$&quot;#,###.0"/>
    <numFmt numFmtId="202" formatCode="0.0\ \x"/>
    <numFmt numFmtId="203" formatCode="&quot;$&quot;#,##0.000_);\(&quot;$&quot;#,##0.000\)"/>
    <numFmt numFmtId="204" formatCode="General_)"/>
    <numFmt numFmtId="205" formatCode="#,##0_);\(#,##0\);&quot;- &quot;"/>
    <numFmt numFmtId="206" formatCode="0.0%;\(0.0%\);&quot;- &quot;"/>
    <numFmt numFmtId="207" formatCode="mm/dd/yy_)"/>
    <numFmt numFmtId="208" formatCode="\•\ @"/>
    <numFmt numFmtId="209" formatCode="_-* #,##0_-;&quot;\&quot;&quot;\&quot;\-* #,##0_-;_-* &quot;-&quot;_-;_-@_-"/>
    <numFmt numFmtId="210" formatCode="&quot;\&quot;#,##0;[Red]&quot;\&quot;&quot;\&quot;\-&quot;\&quot;#,##0"/>
    <numFmt numFmtId="211" formatCode="#,##0.00;\(#,##0.00"/>
    <numFmt numFmtId="212" formatCode="d\ mmm\ yy"/>
    <numFmt numFmtId="213" formatCode="\»\ @"/>
    <numFmt numFmtId="214" formatCode="0.000_)"/>
    <numFmt numFmtId="215" formatCode="_(* #,##0.0_);_(* \(#,##0.0\);_(* &quot;-&quot;??_);_(@_)"/>
    <numFmt numFmtId="216" formatCode="#,##0_%_);\(#,##0\)_%;#,##0_%_);@_%_)"/>
    <numFmt numFmtId="217" formatCode="0.00\ \ "/>
    <numFmt numFmtId="218" formatCode="&quot;$&quot;#,##0_%_);\(&quot;$&quot;#,##0\)_%;&quot;$&quot;#,##0_%_);@_%_)"/>
    <numFmt numFmtId="219" formatCode="&quot;$&quot;#,##0.0\ ;\(&quot;$&quot;#,##0.0\)"/>
    <numFmt numFmtId="220" formatCode="#,##0\ ;\(#,##0\)"/>
    <numFmt numFmtId="221" formatCode="&quot;$&quot;#,##0.0_)"/>
    <numFmt numFmtId="222" formatCode="@\ \ \ \ \ "/>
    <numFmt numFmtId="223" formatCode="&quot;$&quot;#,##0.00"/>
    <numFmt numFmtId="224" formatCode="&quot;$&quot;#,##0.0"/>
    <numFmt numFmtId="225" formatCode="\—\ @"/>
    <numFmt numFmtId="226" formatCode="m/d/yy_%_)"/>
    <numFmt numFmtId="227" formatCode="#,##0;\(#,##0\)"/>
    <numFmt numFmtId="228" formatCode="#,##0.0;\(#,##0.0\)"/>
    <numFmt numFmtId="229" formatCode="\ #,##0.0_);\(#,##0.0\);\-\ \ ??"/>
    <numFmt numFmtId="230" formatCode="&quot;$&quot;#,##0.0_);\(&quot;$&quot;#,##0.0\)"/>
    <numFmt numFmtId="231" formatCode="0_%_);\(0\)_%;0_%_);@_%_)"/>
    <numFmt numFmtId="232" formatCode="0.0"/>
    <numFmt numFmtId="233" formatCode="#,##0.0"/>
    <numFmt numFmtId="234" formatCode="0.0\ \ \ \ \ "/>
    <numFmt numFmtId="235" formatCode="&quot;$&quot;0.00_);\(&quot;$&quot;0.00\)"/>
    <numFmt numFmtId="236" formatCode="m/dd/yy"/>
    <numFmt numFmtId="237" formatCode="#,##0.00_);\(&quot;$&quot;#,##0.00\)"/>
    <numFmt numFmtId="238" formatCode="_([$€-2]* #,##0.00_);_([$€-2]* \(#,##0.00\);_([$€-2]* &quot;-&quot;??_)"/>
    <numFmt numFmtId="239" formatCode="&quot;$&quot;#,##0"/>
    <numFmt numFmtId="240" formatCode="#.00"/>
    <numFmt numFmtId="241" formatCode="_(&quot;$&quot;* #,##0.0_);_(&quot;$&quot;* \(#,##0.0\);_(&quot;$&quot;* &quot;-&quot;?_);_(@_)"/>
    <numFmt numFmtId="242" formatCode="0%\ \ \ \ \ \ \ "/>
    <numFmt numFmtId="243" formatCode="#,##0.000_);\(#,##0.000\)"/>
    <numFmt numFmtId="244" formatCode="0.0%;[Red]\(0.0%\)"/>
    <numFmt numFmtId="245" formatCode="0.0%;\(0.0%\)"/>
    <numFmt numFmtId="246" formatCode="0.0\%_);\(0.0\%\);0.0\%_);@_%_)"/>
    <numFmt numFmtId="247" formatCode="#."/>
    <numFmt numFmtId="248" formatCode="0.00_)"/>
    <numFmt numFmtId="249" formatCode="#,##0.000_);[Red]\(#,##0.000\)"/>
    <numFmt numFmtId="250" formatCode="_(&quot;$&quot;* #,##0_)\ &quot;millions&quot;;_(&quot;$&quot;* \(#,##0\)&quot; millions&quot;"/>
    <numFmt numFmtId="251" formatCode="0_);\(0\)"/>
    <numFmt numFmtId="252" formatCode="_-* #,##0.00_-;\-* #,##0.00_-;_-* &quot;-&quot;??_-;_-@_-"/>
    <numFmt numFmtId="253" formatCode="#,##0.0000;\(#,##0.0000\)"/>
    <numFmt numFmtId="254" formatCode="0.00%_);\(0.00%\)"/>
    <numFmt numFmtId="255" formatCode="#,##0.0\x_);\(#,##0.0\x\);#,##0.0\x_);@_)"/>
    <numFmt numFmtId="256" formatCode="#,##0.00_);\(#,##0.000\)"/>
    <numFmt numFmtId="257" formatCode="0.0_)"/>
    <numFmt numFmtId="258" formatCode="#,##0.000_);\(#,##0.0000\)"/>
    <numFmt numFmtId="259" formatCode="0.00\ \x"/>
    <numFmt numFmtId="260" formatCode="&quot;$&quot;#,##0.000_);[Red]\(&quot;$&quot;#,##0.000\)"/>
    <numFmt numFmtId="261" formatCode="0.0\x_)_);&quot;NM&quot;_x_)_);0.0\x_)_);@_%_)"/>
    <numFmt numFmtId="262" formatCode="#,##0\ &quot;F&quot;;\-#,##0\ &quot;F&quot;"/>
    <numFmt numFmtId="263" formatCode="[$-409]mmm\-yy;@"/>
    <numFmt numFmtId="264" formatCode="&quot;$&quot;#,##0.00_);\(&quot;$&quot;#,##0.00\);\-\ ??"/>
    <numFmt numFmtId="265" formatCode="#,##0.0&quot;x  &quot;"/>
    <numFmt numFmtId="266" formatCode="&quot;\&quot;#,##0.00;[Red]\-&quot;\&quot;#,##0.00"/>
    <numFmt numFmtId="267" formatCode="#,##0.0\%_);\(#,##0.0\%\);#,##0.0\%_);@_)"/>
    <numFmt numFmtId="268" formatCode="#,##0.0_x\);\(#,##0.0\)"/>
    <numFmt numFmtId="269" formatCode="_(&quot;$&quot;* #,##0.0000000000000_);_(&quot;$&quot;* \(#,##0.0000000000000\);_(&quot;$&quot;* &quot;-&quot;??_);_(@_)"/>
    <numFmt numFmtId="270" formatCode="0.00\ \ \ \ "/>
    <numFmt numFmtId="271" formatCode="#,##0.0000000000_);\(#,##0.0000000000\)"/>
    <numFmt numFmtId="272" formatCode="#,##0.0_);\(&quot;$&quot;#,##0.0\)"/>
    <numFmt numFmtId="273" formatCode="_(&quot;$&quot;* #,##0.00_);_(&quot;$&quot;* \(#,##0.00\);_(&quot;$&quot;* &quot;-&quot;?_);_(@_)"/>
    <numFmt numFmtId="274" formatCode="#,###,;\(#,###,\)"/>
    <numFmt numFmtId="275" formatCode="#,###,##0;\(#,###,##0\)"/>
    <numFmt numFmtId="276" formatCode="_(#,##0_);_(\-#,##0_)"/>
    <numFmt numFmtId="277" formatCode="_(#,##0.00_);_(\-#,##0.00_)"/>
    <numFmt numFmtId="278" formatCode="_(#,##0.0_);_(\-#,##0.0_)"/>
    <numFmt numFmtId="279" formatCode="mmm\ yy"/>
    <numFmt numFmtId="280" formatCode="_(* #,##0_);_(* \(#,##0\)"/>
    <numFmt numFmtId="281" formatCode="00000"/>
    <numFmt numFmtId="282" formatCode="_(&quot;$&quot;* #,##0.000_);_(&quot;$&quot;* \(#,##0.000\);_(&quot;$&quot;* &quot;-&quot;??_);_(@_)"/>
    <numFmt numFmtId="283" formatCode="&quot;Yes&quot;;;&quot;No&quot;"/>
    <numFmt numFmtId="284" formatCode="&quot;Lot&quot;\ 0"/>
    <numFmt numFmtId="285" formatCode="&quot;Scenario&quot;\ 0"/>
    <numFmt numFmtId="296" formatCode="&quot;Closing Costs (&quot;#%&quot;)&quot;"/>
    <numFmt numFmtId="297" formatCode="&quot;Developer Fee (&quot;#%&quot; of TDC)&quot;"/>
    <numFmt numFmtId="298" formatCode="&quot;Less Closing Costs (&quot;#%&quot;)&quot;"/>
    <numFmt numFmtId="299" formatCode="&quot;Miscellaneous / Contingency (&quot;#%&quot;)&quot;"/>
    <numFmt numFmtId="300" formatCode="&quot;Month &quot;#"/>
    <numFmt numFmtId="301" formatCode="&quot;Acquisition Fee (&quot;#%&quot; of Land Value)&quot;"/>
  </numFmts>
  <fonts count="160">
    <font>
      <sz val="10"/>
      <name val="Arial"/>
    </font>
    <font>
      <sz val="10"/>
      <name val="Arial"/>
      <family val="2"/>
    </font>
    <font>
      <u val="singleAccounting"/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indexed="12"/>
      <name val="Times New Roman"/>
      <family val="1"/>
    </font>
    <font>
      <sz val="10"/>
      <name val="wachovia fg"/>
    </font>
    <font>
      <sz val="10"/>
      <name val="Univers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GillSans"/>
    </font>
    <font>
      <sz val="8"/>
      <name val="Times New Roman"/>
      <family val="1"/>
    </font>
    <font>
      <sz val="12"/>
      <name val="Helv"/>
    </font>
    <font>
      <sz val="10"/>
      <name val="Century Schoolbook"/>
      <family val="1"/>
    </font>
    <font>
      <sz val="11"/>
      <color indexed="52"/>
      <name val="Calibri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color indexed="8"/>
      <name val="Palatino"/>
    </font>
    <font>
      <sz val="7"/>
      <color indexed="12"/>
      <name val="Times New Roman"/>
      <family val="1"/>
    </font>
    <font>
      <sz val="8"/>
      <name val="Times"/>
      <family val="1"/>
    </font>
    <font>
      <b/>
      <sz val="14"/>
      <name val="Times New Roman"/>
      <family val="1"/>
    </font>
    <font>
      <sz val="12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10"/>
      <name val="MS Sans Serif"/>
      <family val="2"/>
    </font>
    <font>
      <sz val="9"/>
      <name val="Swis721 Cn BT"/>
    </font>
    <font>
      <sz val="8"/>
      <name val="Helvetica-Narrow"/>
    </font>
    <font>
      <sz val="12"/>
      <name val="Arial Narrow"/>
      <family val="2"/>
    </font>
    <font>
      <sz val="9"/>
      <color indexed="8"/>
      <name val="Helvetica-Narrow"/>
    </font>
    <font>
      <sz val="8"/>
      <color indexed="13"/>
      <name val="Helvetica-Narrow"/>
    </font>
    <font>
      <b/>
      <sz val="7"/>
      <name val="Helvetica-Narrow"/>
      <family val="2"/>
    </font>
    <font>
      <b/>
      <sz val="7"/>
      <name val="GillSans"/>
    </font>
    <font>
      <sz val="11"/>
      <name val="Tms Rmn"/>
      <family val="1"/>
    </font>
    <font>
      <sz val="11"/>
      <name val="Arial"/>
      <family val="2"/>
    </font>
    <font>
      <sz val="8"/>
      <color indexed="12"/>
      <name val="Times New Roman"/>
      <family val="1"/>
    </font>
    <font>
      <sz val="8"/>
      <name val="Palatino"/>
      <family val="1"/>
    </font>
    <font>
      <sz val="10"/>
      <name val="Book Antiqua"/>
      <family val="1"/>
    </font>
    <font>
      <b/>
      <sz val="24"/>
      <name val="Courier New"/>
      <family val="3"/>
    </font>
    <font>
      <sz val="10"/>
      <name val="MS Serif"/>
      <family val="1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palatino"/>
    </font>
    <font>
      <sz val="10"/>
      <color indexed="8"/>
      <name val="Arial"/>
      <family val="2"/>
    </font>
    <font>
      <sz val="12"/>
      <name val="TimesNewRomanPS"/>
    </font>
    <font>
      <u/>
      <sz val="8"/>
      <color indexed="12"/>
      <name val="Times New Roman"/>
      <family val="1"/>
    </font>
    <font>
      <sz val="10"/>
      <name val="SWISS"/>
    </font>
    <font>
      <sz val="10"/>
      <name val="MS Sans Serif"/>
      <family val="2"/>
    </font>
    <font>
      <sz val="8"/>
      <color indexed="14"/>
      <name val="Times New Roman"/>
      <family val="1"/>
    </font>
    <font>
      <sz val="12"/>
      <name val="Times New Roman"/>
      <family val="1"/>
    </font>
    <font>
      <u val="doubleAccounting"/>
      <sz val="10"/>
      <name val="Arial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8"/>
      <color indexed="8"/>
      <name val="Times New Roman"/>
      <family val="1"/>
    </font>
    <font>
      <i/>
      <sz val="9"/>
      <name val="Times New Roman"/>
      <family val="1"/>
    </font>
    <font>
      <i/>
      <sz val="10"/>
      <name val="Times New Roman"/>
      <family val="1"/>
    </font>
    <font>
      <i/>
      <sz val="9"/>
      <color indexed="8"/>
      <name val="Times New Roman"/>
      <family val="1"/>
    </font>
    <font>
      <b/>
      <sz val="9"/>
      <name val="Times New Roman"/>
      <family val="1"/>
    </font>
    <font>
      <sz val="22"/>
      <name val="Times New Roman"/>
      <family val="1"/>
    </font>
    <font>
      <b/>
      <i/>
      <sz val="8"/>
      <color indexed="12"/>
      <name val="Arial"/>
      <family val="2"/>
    </font>
    <font>
      <sz val="24"/>
      <color indexed="13"/>
      <name val="SWISS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sz val="7"/>
      <name val="Palatino"/>
      <family val="1"/>
    </font>
    <font>
      <b/>
      <sz val="14"/>
      <color indexed="8"/>
      <name val="SWISS"/>
    </font>
    <font>
      <b/>
      <sz val="12"/>
      <color indexed="9"/>
      <name val="Tms Rmn"/>
    </font>
    <font>
      <b/>
      <sz val="10"/>
      <color indexed="9"/>
      <name val="GillSans"/>
    </font>
    <font>
      <b/>
      <sz val="10"/>
      <color indexed="8"/>
      <name val="GillSans"/>
    </font>
    <font>
      <sz val="10.5"/>
      <name val="Times New Roman"/>
      <family val="1"/>
    </font>
    <font>
      <b/>
      <sz val="12"/>
      <name val="Arial"/>
      <family val="2"/>
    </font>
    <font>
      <b/>
      <sz val="16"/>
      <name val="Times New Roman"/>
      <family val="1"/>
    </font>
    <font>
      <b/>
      <sz val="1"/>
      <color indexed="8"/>
      <name val="Courier"/>
      <family val="3"/>
    </font>
    <font>
      <b/>
      <i/>
      <sz val="22"/>
      <name val="Times New Roman"/>
      <family val="1"/>
    </font>
    <font>
      <b/>
      <sz val="8"/>
      <name val="MS Sans Serif"/>
      <family val="2"/>
    </font>
    <font>
      <b/>
      <u/>
      <sz val="8"/>
      <name val="Arial"/>
      <family val="2"/>
    </font>
    <font>
      <i/>
      <sz val="10"/>
      <color indexed="39"/>
      <name val="Arial"/>
      <family val="2"/>
    </font>
    <font>
      <sz val="10"/>
      <color indexed="12"/>
      <name val="Arial"/>
      <family val="2"/>
    </font>
    <font>
      <sz val="10"/>
      <color indexed="16"/>
      <name val="MS Sans Serif"/>
      <family val="2"/>
    </font>
    <font>
      <sz val="10"/>
      <name val="Baskerville MT"/>
    </font>
    <font>
      <sz val="14"/>
      <name val="Architecture"/>
      <family val="2"/>
    </font>
    <font>
      <sz val="7"/>
      <name val="Small Fonts"/>
      <family val="2"/>
    </font>
    <font>
      <sz val="8"/>
      <color indexed="8"/>
      <name val="MS Sans Serif"/>
      <family val="2"/>
    </font>
    <font>
      <sz val="10"/>
      <name val="Univers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GillSans"/>
      <family val="2"/>
    </font>
    <font>
      <sz val="8"/>
      <name val="Wingdings"/>
      <charset val="2"/>
    </font>
    <font>
      <sz val="8"/>
      <name val="Helv"/>
    </font>
    <font>
      <sz val="10"/>
      <name val="GillSans Light"/>
    </font>
    <font>
      <sz val="10"/>
      <name val="Courier"/>
      <family val="3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ms Rmn"/>
    </font>
    <font>
      <sz val="8"/>
      <name val="MS Sans Serif"/>
      <family val="2"/>
    </font>
    <font>
      <b/>
      <sz val="12"/>
      <color indexed="10"/>
      <name val="Swis721 Cn BT"/>
    </font>
    <font>
      <b/>
      <sz val="12"/>
      <color indexed="10"/>
      <name val="Helv"/>
    </font>
    <font>
      <b/>
      <sz val="11"/>
      <color indexed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GillSans"/>
    </font>
    <font>
      <b/>
      <sz val="9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2"/>
      <color indexed="60"/>
      <name val="Swis721 Cn BT"/>
    </font>
    <font>
      <sz val="7"/>
      <name val="Times New Roman"/>
      <family val="1"/>
    </font>
    <font>
      <b/>
      <sz val="11"/>
      <name val="Arial"/>
      <family val="2"/>
    </font>
    <font>
      <b/>
      <sz val="12"/>
      <name val="GillSans"/>
      <family val="2"/>
    </font>
    <font>
      <b/>
      <sz val="11"/>
      <name val="Times New Roman"/>
      <family val="1"/>
    </font>
    <font>
      <b/>
      <sz val="10"/>
      <name val="Helvetica 65"/>
      <family val="2"/>
    </font>
    <font>
      <u/>
      <sz val="8"/>
      <name val="Times New Roman"/>
      <family val="1"/>
    </font>
    <font>
      <b/>
      <sz val="8"/>
      <name val="Times New Roman"/>
      <family val="1"/>
    </font>
    <font>
      <b/>
      <sz val="8"/>
      <name val="Helv"/>
    </font>
    <font>
      <u/>
      <sz val="11"/>
      <name val="GillSans"/>
      <family val="2"/>
    </font>
    <font>
      <b/>
      <i/>
      <sz val="24"/>
      <name val="Arial"/>
      <family val="2"/>
    </font>
    <font>
      <b/>
      <sz val="7"/>
      <color indexed="12"/>
      <name val="Arial"/>
      <family val="2"/>
    </font>
    <font>
      <sz val="10"/>
      <color indexed="9"/>
      <name val="Tms Rmn"/>
    </font>
    <font>
      <sz val="11"/>
      <name val="ZapfCalligr BT"/>
    </font>
    <font>
      <b/>
      <sz val="9"/>
      <name val="Zurich Cn BT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0"/>
      <color indexed="12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u val="singleAccounting"/>
      <sz val="10"/>
      <name val="Arial Narrow"/>
      <family val="2"/>
    </font>
    <font>
      <b/>
      <i/>
      <sz val="10"/>
      <name val="Arial Narrow"/>
      <family val="2"/>
    </font>
    <font>
      <b/>
      <sz val="10"/>
      <color theme="0"/>
      <name val="Arial Narrow"/>
      <family val="2"/>
    </font>
    <font>
      <u/>
      <sz val="12"/>
      <color indexed="12"/>
      <name val="Arial"/>
      <family val="2"/>
    </font>
    <font>
      <b/>
      <u val="singleAccounting"/>
      <sz val="10"/>
      <name val="Arial Narrow"/>
      <family val="2"/>
    </font>
    <font>
      <sz val="8"/>
      <name val="Arial Narrow"/>
      <family val="2"/>
    </font>
    <font>
      <sz val="8"/>
      <name val="Sans Serif"/>
    </font>
    <font>
      <b/>
      <u/>
      <sz val="18"/>
      <name val="Sans Serif"/>
    </font>
    <font>
      <sz val="20"/>
      <name val="Sans Serif"/>
    </font>
    <font>
      <b/>
      <u/>
      <sz val="20"/>
      <name val="Sans Serif"/>
    </font>
    <font>
      <b/>
      <sz val="8"/>
      <name val="Sans Serif"/>
    </font>
    <font>
      <b/>
      <sz val="9"/>
      <name val="Sans Serif"/>
    </font>
    <font>
      <sz val="9"/>
      <name val="Sans Serif"/>
    </font>
    <font>
      <b/>
      <u/>
      <sz val="9"/>
      <name val="Sans Serif"/>
    </font>
    <font>
      <b/>
      <u/>
      <sz val="8"/>
      <name val="Sans Serif"/>
    </font>
    <font>
      <sz val="8"/>
      <color rgb="FF7030A0"/>
      <name val="Sans Serif"/>
    </font>
    <font>
      <sz val="8"/>
      <color rgb="FF00B050"/>
      <name val="Sans Serif"/>
    </font>
    <font>
      <i/>
      <sz val="9"/>
      <name val="Sans Serif"/>
    </font>
    <font>
      <i/>
      <sz val="8"/>
      <name val="Sans Serif"/>
    </font>
    <font>
      <u/>
      <sz val="8"/>
      <color theme="10"/>
      <name val="Arial Narrow"/>
      <family val="2"/>
    </font>
    <font>
      <sz val="10"/>
      <color rgb="FF0000FF"/>
      <name val="Arial Narrow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10"/>
      <color rgb="FF0000FF"/>
      <name val="Arial"/>
      <family val="2"/>
    </font>
    <font>
      <sz val="10"/>
      <color rgb="FF006600"/>
      <name val="Arial Narrow"/>
      <family val="2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</patternFill>
    </fill>
    <fill>
      <patternFill patternType="lightGray">
        <fgColor indexed="15"/>
      </patternFill>
    </fill>
    <fill>
      <patternFill patternType="solid">
        <fgColor indexed="9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solid">
        <fgColor indexed="65"/>
        <bgColor indexed="64"/>
      </patternFill>
    </fill>
    <fill>
      <patternFill patternType="mediumGray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indexed="6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0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17"/>
      </top>
      <bottom/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4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5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168" fontId="9" fillId="0" borderId="0"/>
    <xf numFmtId="0" fontId="8" fillId="0" borderId="0"/>
    <xf numFmtId="0" fontId="8" fillId="0" borderId="0"/>
    <xf numFmtId="0" fontId="12" fillId="0" borderId="0"/>
    <xf numFmtId="171" fontId="13" fillId="0" borderId="0">
      <alignment horizontal="right"/>
    </xf>
    <xf numFmtId="172" fontId="13" fillId="0" borderId="0">
      <alignment horizontal="right"/>
    </xf>
    <xf numFmtId="173" fontId="13" fillId="0" borderId="0">
      <alignment horizontal="right"/>
    </xf>
    <xf numFmtId="174" fontId="14" fillId="0" borderId="0">
      <alignment horizontal="right"/>
    </xf>
    <xf numFmtId="175" fontId="14" fillId="2" borderId="0"/>
    <xf numFmtId="176" fontId="14" fillId="2" borderId="0"/>
    <xf numFmtId="177" fontId="15" fillId="2" borderId="0"/>
    <xf numFmtId="178" fontId="14" fillId="2" borderId="0"/>
    <xf numFmtId="179" fontId="14" fillId="2" borderId="0">
      <alignment horizontal="right"/>
    </xf>
    <xf numFmtId="180" fontId="4" fillId="0" borderId="0" applyFont="0" applyFill="0" applyBorder="0" applyAlignment="0"/>
    <xf numFmtId="0" fontId="16" fillId="0" borderId="14" applyNumberFormat="0" applyFill="0" applyAlignment="0" applyProtection="0"/>
    <xf numFmtId="181" fontId="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39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5" borderId="0" applyNumberFormat="0" applyFont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1" fontId="1" fillId="0" borderId="0" applyFont="0" applyFill="0" applyBorder="0" applyProtection="0">
      <alignment horizontal="right"/>
    </xf>
    <xf numFmtId="191" fontId="1" fillId="0" borderId="0" applyFont="0" applyFill="0" applyBorder="0" applyProtection="0">
      <alignment horizontal="right"/>
    </xf>
    <xf numFmtId="191" fontId="1" fillId="0" borderId="0" applyFont="0" applyFill="0" applyBorder="0" applyProtection="0">
      <alignment horizontal="right"/>
    </xf>
    <xf numFmtId="192" fontId="1" fillId="0" borderId="0" applyFont="0" applyFill="0" applyBorder="0" applyAlignment="0" applyProtection="0"/>
    <xf numFmtId="191" fontId="1" fillId="0" borderId="0" applyFont="0" applyFill="0" applyBorder="0" applyProtection="0">
      <alignment horizontal="right"/>
    </xf>
    <xf numFmtId="191" fontId="1" fillId="0" borderId="0" applyFont="0" applyFill="0" applyBorder="0" applyProtection="0">
      <alignment horizontal="right"/>
    </xf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8" fillId="0" borderId="0" applyNumberFormat="0" applyFill="0" applyBorder="0" applyProtection="0">
      <alignment vertical="top"/>
    </xf>
    <xf numFmtId="0" fontId="18" fillId="0" borderId="0" applyNumberFormat="0" applyFill="0" applyBorder="0" applyProtection="0">
      <alignment vertical="top"/>
    </xf>
    <xf numFmtId="0" fontId="18" fillId="0" borderId="0" applyNumberFormat="0" applyFill="0" applyBorder="0" applyProtection="0">
      <alignment vertical="top"/>
    </xf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Protection="0">
      <alignment horizontal="center"/>
    </xf>
    <xf numFmtId="0" fontId="20" fillId="0" borderId="16" applyNumberFormat="0" applyFill="0" applyProtection="0">
      <alignment horizontal="center"/>
    </xf>
    <xf numFmtId="0" fontId="20" fillId="0" borderId="16" applyNumberFormat="0" applyFill="0" applyProtection="0">
      <alignment horizontal="center"/>
    </xf>
    <xf numFmtId="0" fontId="20" fillId="0" borderId="0" applyNumberFormat="0" applyFill="0" applyBorder="0" applyProtection="0">
      <alignment horizontal="left"/>
    </xf>
    <xf numFmtId="0" fontId="20" fillId="0" borderId="0" applyNumberFormat="0" applyFill="0" applyBorder="0" applyProtection="0">
      <alignment horizontal="left"/>
    </xf>
    <xf numFmtId="0" fontId="20" fillId="0" borderId="0" applyNumberFormat="0" applyFill="0" applyBorder="0" applyProtection="0">
      <alignment horizontal="left"/>
    </xf>
    <xf numFmtId="0" fontId="21" fillId="0" borderId="0" applyNumberFormat="0" applyFill="0" applyBorder="0" applyProtection="0">
      <alignment horizontal="centerContinuous"/>
    </xf>
    <xf numFmtId="0" fontId="21" fillId="0" borderId="0" applyNumberFormat="0" applyFill="0" applyBorder="0" applyProtection="0">
      <alignment horizontal="centerContinuous"/>
    </xf>
    <xf numFmtId="0" fontId="21" fillId="0" borderId="0" applyNumberFormat="0" applyFill="0" applyBorder="0" applyProtection="0">
      <alignment horizontal="centerContinuous"/>
    </xf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02" fontId="22" fillId="0" borderId="0">
      <alignment horizontal="left"/>
      <protection locked="0"/>
    </xf>
    <xf numFmtId="38" fontId="4" fillId="0" borderId="17"/>
    <xf numFmtId="203" fontId="23" fillId="0" borderId="0">
      <protection locked="0"/>
    </xf>
    <xf numFmtId="0" fontId="24" fillId="0" borderId="0"/>
    <xf numFmtId="37" fontId="25" fillId="0" borderId="0" applyFont="0" applyAlignment="0">
      <alignment horizontal="centerContinuous" vertical="top"/>
    </xf>
    <xf numFmtId="0" fontId="13" fillId="0" borderId="0">
      <alignment horizontal="center" wrapText="1"/>
      <protection locked="0"/>
    </xf>
    <xf numFmtId="0" fontId="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204" fontId="5" fillId="0" borderId="0" applyNumberFormat="0" applyFont="0" applyAlignment="0">
      <alignment horizontal="left" indent="1"/>
    </xf>
    <xf numFmtId="0" fontId="1" fillId="0" borderId="0" applyNumberFormat="0" applyFill="0" applyBorder="0" applyAlignment="0" applyProtection="0"/>
    <xf numFmtId="205" fontId="1" fillId="0" borderId="0" applyFont="0" applyFill="0" applyBorder="0" applyAlignment="0"/>
    <xf numFmtId="206" fontId="27" fillId="0" borderId="0" applyFont="0" applyFill="0" applyBorder="0" applyAlignment="0">
      <alignment horizontal="right"/>
    </xf>
    <xf numFmtId="0" fontId="28" fillId="0" borderId="0" applyNumberFormat="0" applyFill="0" applyBorder="0" applyAlignment="0" applyProtection="0"/>
    <xf numFmtId="0" fontId="23" fillId="0" borderId="0">
      <protection locked="0"/>
    </xf>
    <xf numFmtId="207" fontId="23" fillId="0" borderId="0">
      <alignment horizontal="right"/>
      <protection locked="0"/>
    </xf>
    <xf numFmtId="7" fontId="7" fillId="0" borderId="0">
      <alignment horizontal="right"/>
      <protection locked="0"/>
    </xf>
    <xf numFmtId="204" fontId="23" fillId="0" borderId="0">
      <alignment horizontal="right"/>
      <protection locked="0"/>
    </xf>
    <xf numFmtId="0" fontId="29" fillId="0" borderId="0" applyNumberFormat="0" applyFill="0" applyBorder="0" applyAlignment="0" applyProtection="0"/>
    <xf numFmtId="0" fontId="6" fillId="0" borderId="4" applyNumberFormat="0" applyFill="0" applyAlignment="0" applyProtection="0"/>
    <xf numFmtId="5" fontId="30" fillId="0" borderId="1" applyAlignment="0" applyProtection="0"/>
    <xf numFmtId="0" fontId="13" fillId="0" borderId="12" applyNumberFormat="0" applyFont="0" applyFill="0" applyAlignment="0" applyProtection="0"/>
    <xf numFmtId="204" fontId="4" fillId="0" borderId="18" applyNumberFormat="0" applyFont="0" applyAlignment="0" applyProtection="0"/>
    <xf numFmtId="7" fontId="31" fillId="0" borderId="5"/>
    <xf numFmtId="0" fontId="32" fillId="0" borderId="0"/>
    <xf numFmtId="0" fontId="2" fillId="0" borderId="0" applyFont="0" applyFill="0" applyBorder="0" applyAlignment="0" applyProtection="0"/>
    <xf numFmtId="208" fontId="33" fillId="0" borderId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10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11" fontId="34" fillId="0" borderId="3" applyFill="0" applyBorder="0" applyAlignment="0" applyProtection="0">
      <alignment horizontal="right"/>
    </xf>
    <xf numFmtId="212" fontId="35" fillId="0" borderId="0" applyFont="0" applyFill="0"/>
    <xf numFmtId="39" fontId="13" fillId="6" borderId="0" applyNumberFormat="0" applyFont="0" applyBorder="0" applyAlignment="0"/>
    <xf numFmtId="0" fontId="6" fillId="0" borderId="4" applyNumberFormat="0" applyFont="0" applyFill="0" applyProtection="0">
      <alignment horizontal="centerContinuous" vertical="center"/>
    </xf>
    <xf numFmtId="213" fontId="33" fillId="0" borderId="0"/>
    <xf numFmtId="0" fontId="36" fillId="0" borderId="19" applyNumberFormat="0" applyFill="0" applyProtection="0">
      <alignment horizontal="center" vertical="center"/>
    </xf>
    <xf numFmtId="0" fontId="37" fillId="0" borderId="4" applyNumberFormat="0" applyFill="0" applyBorder="0" applyProtection="0">
      <alignment horizontal="right" vertical="center"/>
    </xf>
    <xf numFmtId="0" fontId="6" fillId="0" borderId="0" applyNumberFormat="0" applyFill="0" applyBorder="0" applyProtection="0">
      <alignment horizontal="center" vertical="center"/>
    </xf>
    <xf numFmtId="214" fontId="38" fillId="0" borderId="0"/>
    <xf numFmtId="214" fontId="38" fillId="0" borderId="0"/>
    <xf numFmtId="214" fontId="38" fillId="0" borderId="0"/>
    <xf numFmtId="214" fontId="38" fillId="0" borderId="0"/>
    <xf numFmtId="214" fontId="38" fillId="0" borderId="0"/>
    <xf numFmtId="214" fontId="38" fillId="0" borderId="0"/>
    <xf numFmtId="214" fontId="38" fillId="0" borderId="0"/>
    <xf numFmtId="214" fontId="38" fillId="0" borderId="0"/>
    <xf numFmtId="40" fontId="39" fillId="0" borderId="0" applyFont="0"/>
    <xf numFmtId="209" fontId="1" fillId="0" borderId="0" applyFont="0" applyFill="0" applyBorder="0" applyAlignment="0" applyProtection="0"/>
    <xf numFmtId="215" fontId="40" fillId="0" borderId="0" applyFont="0" applyFill="0" applyBorder="0" applyAlignment="0" applyProtection="0"/>
    <xf numFmtId="216" fontId="41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/>
    <xf numFmtId="3" fontId="1" fillId="0" borderId="0" applyFont="0" applyFill="0" applyBorder="0" applyAlignment="0" applyProtection="0">
      <alignment vertical="top"/>
    </xf>
    <xf numFmtId="0" fontId="14" fillId="0" borderId="0"/>
    <xf numFmtId="3" fontId="43" fillId="0" borderId="0" applyFill="0" applyBorder="0" applyAlignment="0" applyProtection="0"/>
    <xf numFmtId="0" fontId="14" fillId="0" borderId="0"/>
    <xf numFmtId="0" fontId="44" fillId="0" borderId="0" applyNumberFormat="0" applyAlignment="0">
      <alignment horizontal="left"/>
    </xf>
    <xf numFmtId="0" fontId="14" fillId="0" borderId="0"/>
    <xf numFmtId="8" fontId="39" fillId="0" borderId="0" applyFont="0" applyBorder="0"/>
    <xf numFmtId="209" fontId="1" fillId="0" borderId="0" applyFont="0" applyFill="0" applyBorder="0" applyAlignment="0" applyProtection="0"/>
    <xf numFmtId="217" fontId="1" fillId="0" borderId="0" applyFont="0" applyFill="0" applyBorder="0" applyAlignment="0" applyProtection="0"/>
    <xf numFmtId="8" fontId="42" fillId="0" borderId="0" applyBorder="0"/>
    <xf numFmtId="218" fontId="41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45" fillId="0" borderId="0" applyFont="0" applyFill="0" applyBorder="0" applyAlignment="0" applyProtection="0"/>
    <xf numFmtId="5" fontId="1" fillId="0" borderId="0" applyFont="0" applyFill="0" applyBorder="0" applyAlignment="0" applyProtection="0">
      <alignment vertical="top"/>
    </xf>
    <xf numFmtId="219" fontId="46" fillId="0" borderId="0"/>
    <xf numFmtId="220" fontId="14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2" fontId="12" fillId="2" borderId="2">
      <alignment horizontal="right"/>
    </xf>
    <xf numFmtId="180" fontId="47" fillId="2" borderId="2">
      <alignment horizontal="right"/>
    </xf>
    <xf numFmtId="0" fontId="15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0" fontId="15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180" fontId="47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23" fontId="47" fillId="2" borderId="2">
      <alignment horizontal="right"/>
    </xf>
    <xf numFmtId="223" fontId="47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1" fontId="1" fillId="2" borderId="2">
      <alignment horizontal="right"/>
    </xf>
    <xf numFmtId="222" fontId="12" fillId="2" borderId="2">
      <alignment horizontal="right"/>
    </xf>
    <xf numFmtId="180" fontId="47" fillId="2" borderId="2">
      <alignment horizontal="right"/>
    </xf>
    <xf numFmtId="222" fontId="12" fillId="2" borderId="2">
      <alignment horizontal="right"/>
    </xf>
    <xf numFmtId="180" fontId="47" fillId="2" borderId="2">
      <alignment horizontal="right"/>
    </xf>
    <xf numFmtId="224" fontId="14" fillId="2" borderId="2">
      <alignment horizontal="right"/>
    </xf>
    <xf numFmtId="223" fontId="47" fillId="2" borderId="2">
      <alignment horizontal="right"/>
    </xf>
    <xf numFmtId="223" fontId="47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25" fontId="33" fillId="0" borderId="0"/>
    <xf numFmtId="204" fontId="13" fillId="0" borderId="0" applyFont="0" applyFill="0" applyBorder="0" applyProtection="0">
      <alignment horizontal="right"/>
    </xf>
    <xf numFmtId="226" fontId="41" fillId="0" borderId="0" applyFont="0" applyFill="0" applyBorder="0" applyAlignment="0" applyProtection="0"/>
    <xf numFmtId="166" fontId="1" fillId="0" borderId="0">
      <alignment horizontal="right"/>
    </xf>
    <xf numFmtId="14" fontId="48" fillId="0" borderId="0" applyFill="0" applyBorder="0" applyAlignment="0"/>
    <xf numFmtId="14" fontId="49" fillId="0" borderId="0"/>
    <xf numFmtId="14" fontId="50" fillId="0" borderId="0">
      <alignment horizontal="right"/>
      <protection locked="0"/>
    </xf>
    <xf numFmtId="227" fontId="13" fillId="0" borderId="0">
      <alignment horizontal="right"/>
    </xf>
    <xf numFmtId="228" fontId="13" fillId="0" borderId="0">
      <alignment horizontal="right"/>
    </xf>
    <xf numFmtId="229" fontId="1" fillId="0" borderId="0">
      <alignment horizontal="right"/>
    </xf>
    <xf numFmtId="39" fontId="51" fillId="7" borderId="0"/>
    <xf numFmtId="38" fontId="52" fillId="0" borderId="20">
      <alignment vertical="center"/>
    </xf>
    <xf numFmtId="37" fontId="31" fillId="0" borderId="13"/>
    <xf numFmtId="230" fontId="13" fillId="0" borderId="0"/>
    <xf numFmtId="230" fontId="40" fillId="0" borderId="0">
      <protection locked="0"/>
    </xf>
    <xf numFmtId="7" fontId="13" fillId="0" borderId="0"/>
    <xf numFmtId="223" fontId="53" fillId="0" borderId="0" applyFont="0" applyFill="0" applyBorder="0" applyAlignment="0" applyProtection="0"/>
    <xf numFmtId="4" fontId="54" fillId="0" borderId="0" applyFont="0" applyFill="0" applyBorder="0" applyAlignment="0" applyProtection="0"/>
    <xf numFmtId="231" fontId="41" fillId="0" borderId="21" applyNumberFormat="0" applyFont="0" applyFill="0" applyAlignment="0" applyProtection="0"/>
    <xf numFmtId="42" fontId="55" fillId="0" borderId="0" applyFill="0" applyBorder="0" applyAlignment="0" applyProtection="0"/>
    <xf numFmtId="232" fontId="4" fillId="8" borderId="0">
      <alignment vertical="center"/>
    </xf>
    <xf numFmtId="232" fontId="5" fillId="0" borderId="0">
      <alignment vertical="center"/>
    </xf>
    <xf numFmtId="232" fontId="5" fillId="0" borderId="0">
      <alignment vertical="center"/>
    </xf>
    <xf numFmtId="232" fontId="56" fillId="9" borderId="22" applyNumberFormat="0" applyAlignment="0">
      <alignment horizontal="center" vertical="center"/>
    </xf>
    <xf numFmtId="232" fontId="10" fillId="9" borderId="0">
      <alignment horizontal="center" vertical="center"/>
    </xf>
    <xf numFmtId="14" fontId="4" fillId="9" borderId="0">
      <alignment horizontal="center" vertical="center"/>
    </xf>
    <xf numFmtId="17" fontId="46" fillId="9" borderId="0">
      <alignment horizontal="center" vertical="center"/>
    </xf>
    <xf numFmtId="232" fontId="57" fillId="0" borderId="0">
      <alignment vertical="center"/>
    </xf>
    <xf numFmtId="232" fontId="58" fillId="9" borderId="0">
      <alignment vertical="center"/>
    </xf>
    <xf numFmtId="232" fontId="59" fillId="9" borderId="0">
      <alignment vertical="center"/>
    </xf>
    <xf numFmtId="165" fontId="60" fillId="9" borderId="23">
      <alignment vertical="center"/>
    </xf>
    <xf numFmtId="0" fontId="4" fillId="9" borderId="23">
      <alignment vertical="center"/>
    </xf>
    <xf numFmtId="37" fontId="46" fillId="9" borderId="0">
      <alignment horizontal="left" vertical="center"/>
    </xf>
    <xf numFmtId="232" fontId="46" fillId="9" borderId="0">
      <alignment horizontal="center" vertical="center"/>
    </xf>
    <xf numFmtId="224" fontId="27" fillId="9" borderId="0">
      <alignment horizontal="right" vertical="center"/>
    </xf>
    <xf numFmtId="223" fontId="27" fillId="9" borderId="0">
      <alignment horizontal="right" vertical="center"/>
    </xf>
    <xf numFmtId="165" fontId="61" fillId="9" borderId="0">
      <alignment horizontal="right" vertical="center"/>
    </xf>
    <xf numFmtId="165" fontId="61" fillId="9" borderId="1">
      <alignment horizontal="right" vertical="center"/>
    </xf>
    <xf numFmtId="223" fontId="62" fillId="9" borderId="23">
      <alignment horizontal="right" vertical="center"/>
    </xf>
    <xf numFmtId="233" fontId="19" fillId="9" borderId="0">
      <alignment horizontal="right" vertical="center"/>
    </xf>
    <xf numFmtId="4" fontId="27" fillId="9" borderId="0">
      <alignment horizontal="right" vertical="center"/>
    </xf>
    <xf numFmtId="233" fontId="46" fillId="9" borderId="4">
      <alignment horizontal="right" vertical="center"/>
    </xf>
    <xf numFmtId="223" fontId="46" fillId="9" borderId="4">
      <alignment horizontal="right" vertical="center"/>
    </xf>
    <xf numFmtId="223" fontId="62" fillId="9" borderId="0">
      <alignment horizontal="right" vertical="center"/>
    </xf>
    <xf numFmtId="166" fontId="46" fillId="9" borderId="0">
      <alignment horizontal="right" vertical="center"/>
    </xf>
    <xf numFmtId="232" fontId="4" fillId="0" borderId="0">
      <alignment vertical="center"/>
    </xf>
    <xf numFmtId="232" fontId="57" fillId="9" borderId="4" applyBorder="0">
      <alignment horizontal="left" vertical="center"/>
    </xf>
    <xf numFmtId="232" fontId="63" fillId="9" borderId="0">
      <alignment horizontal="left" vertical="center"/>
    </xf>
    <xf numFmtId="232" fontId="57" fillId="9" borderId="24">
      <alignment horizontal="left"/>
    </xf>
    <xf numFmtId="232" fontId="13" fillId="9" borderId="25">
      <alignment vertical="center"/>
    </xf>
    <xf numFmtId="232" fontId="13" fillId="9" borderId="26">
      <alignment vertical="center"/>
    </xf>
    <xf numFmtId="232" fontId="13" fillId="9" borderId="1">
      <alignment vertical="center"/>
    </xf>
    <xf numFmtId="232" fontId="5" fillId="9" borderId="27">
      <alignment horizontal="center" vertical="center"/>
    </xf>
    <xf numFmtId="232" fontId="5" fillId="0" borderId="0">
      <alignment vertical="center"/>
    </xf>
    <xf numFmtId="232" fontId="5" fillId="0" borderId="0">
      <alignment vertical="center"/>
    </xf>
    <xf numFmtId="232" fontId="5" fillId="0" borderId="0">
      <alignment vertical="center"/>
    </xf>
    <xf numFmtId="39" fontId="51" fillId="7" borderId="28"/>
    <xf numFmtId="39" fontId="51" fillId="7" borderId="28"/>
    <xf numFmtId="165" fontId="64" fillId="0" borderId="29" applyNumberFormat="0" applyAlignment="0" applyProtection="0">
      <alignment vertical="top"/>
    </xf>
    <xf numFmtId="39" fontId="65" fillId="10" borderId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0" fontId="66" fillId="0" borderId="0" applyNumberFormat="0" applyAlignment="0">
      <alignment horizontal="left"/>
    </xf>
    <xf numFmtId="217" fontId="14" fillId="0" borderId="0"/>
    <xf numFmtId="234" fontId="14" fillId="0" borderId="0"/>
    <xf numFmtId="207" fontId="14" fillId="0" borderId="0"/>
    <xf numFmtId="235" fontId="14" fillId="0" borderId="0"/>
    <xf numFmtId="215" fontId="47" fillId="11" borderId="0"/>
    <xf numFmtId="236" fontId="14" fillId="0" borderId="0"/>
    <xf numFmtId="237" fontId="14" fillId="0" borderId="0"/>
    <xf numFmtId="238" fontId="1" fillId="0" borderId="0" applyFont="0" applyFill="0" applyBorder="0" applyAlignment="0" applyProtection="0"/>
    <xf numFmtId="239" fontId="6" fillId="0" borderId="0"/>
    <xf numFmtId="240" fontId="67" fillId="0" borderId="0">
      <protection locked="0"/>
    </xf>
    <xf numFmtId="0" fontId="14" fillId="0" borderId="0"/>
    <xf numFmtId="0" fontId="68" fillId="0" borderId="0" applyFill="0" applyBorder="0" applyProtection="0">
      <alignment horizontal="left"/>
    </xf>
    <xf numFmtId="39" fontId="69" fillId="7" borderId="30"/>
    <xf numFmtId="39" fontId="69" fillId="7" borderId="28"/>
    <xf numFmtId="39" fontId="69" fillId="12" borderId="28"/>
    <xf numFmtId="234" fontId="14" fillId="0" borderId="31"/>
    <xf numFmtId="196" fontId="14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2" fontId="12" fillId="2" borderId="2">
      <alignment horizontal="right"/>
    </xf>
    <xf numFmtId="243" fontId="47" fillId="2" borderId="2">
      <alignment horizontal="right"/>
    </xf>
    <xf numFmtId="244" fontId="15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3" fontId="47" fillId="2" borderId="2">
      <alignment horizontal="right"/>
    </xf>
    <xf numFmtId="203" fontId="47" fillId="2" borderId="2">
      <alignment horizontal="right"/>
    </xf>
    <xf numFmtId="203" fontId="47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3" fontId="47" fillId="2" borderId="2">
      <alignment horizontal="right"/>
    </xf>
    <xf numFmtId="243" fontId="47" fillId="2" borderId="2">
      <alignment horizontal="right"/>
    </xf>
    <xf numFmtId="244" fontId="15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3" fontId="47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3" fontId="47" fillId="2" borderId="2">
      <alignment horizontal="right"/>
    </xf>
    <xf numFmtId="203" fontId="47" fillId="2" borderId="2">
      <alignment horizontal="right"/>
    </xf>
    <xf numFmtId="203" fontId="47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3" fontId="47" fillId="2" borderId="2">
      <alignment horizontal="right"/>
    </xf>
    <xf numFmtId="243" fontId="47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3" fontId="47" fillId="2" borderId="2">
      <alignment horizontal="right"/>
    </xf>
    <xf numFmtId="243" fontId="47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03" fontId="47" fillId="2" borderId="2">
      <alignment horizontal="right"/>
    </xf>
    <xf numFmtId="203" fontId="47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1" fontId="1" fillId="2" borderId="2">
      <alignment horizontal="right"/>
    </xf>
    <xf numFmtId="242" fontId="12" fillId="2" borderId="2">
      <alignment horizontal="right"/>
    </xf>
    <xf numFmtId="243" fontId="47" fillId="2" borderId="2">
      <alignment horizontal="right"/>
    </xf>
    <xf numFmtId="242" fontId="12" fillId="2" borderId="2">
      <alignment horizontal="right"/>
    </xf>
    <xf numFmtId="243" fontId="47" fillId="2" borderId="2">
      <alignment horizontal="right"/>
    </xf>
    <xf numFmtId="245" fontId="14" fillId="2" borderId="2">
      <alignment horizontal="right"/>
    </xf>
    <xf numFmtId="180" fontId="47" fillId="2" borderId="2">
      <alignment horizontal="right"/>
    </xf>
    <xf numFmtId="180" fontId="47" fillId="2" borderId="2">
      <alignment horizontal="right"/>
    </xf>
    <xf numFmtId="203" fontId="47" fillId="2" borderId="2">
      <alignment horizontal="right"/>
    </xf>
    <xf numFmtId="203" fontId="47" fillId="2" borderId="2">
      <alignment horizontal="right"/>
    </xf>
    <xf numFmtId="38" fontId="3" fillId="2" borderId="0" applyNumberFormat="0" applyBorder="0" applyAlignment="0" applyProtection="0"/>
    <xf numFmtId="246" fontId="41" fillId="0" borderId="0" applyFont="0" applyFill="0" applyBorder="0" applyAlignment="0" applyProtection="0">
      <alignment horizontal="right"/>
    </xf>
    <xf numFmtId="0" fontId="70" fillId="13" borderId="0"/>
    <xf numFmtId="0" fontId="71" fillId="14" borderId="0" applyNumberFormat="0" applyBorder="0" applyProtection="0">
      <alignment horizontal="left" vertical="center"/>
    </xf>
    <xf numFmtId="0" fontId="72" fillId="1" borderId="0" applyNumberFormat="0" applyBorder="0" applyProtection="0">
      <alignment horizontal="left" vertical="center"/>
    </xf>
    <xf numFmtId="0" fontId="73" fillId="0" borderId="0" applyProtection="0">
      <alignment horizontal="right" vertical="top"/>
    </xf>
    <xf numFmtId="0" fontId="74" fillId="0" borderId="32" applyNumberFormat="0" applyAlignment="0" applyProtection="0">
      <alignment horizontal="left" vertical="center"/>
    </xf>
    <xf numFmtId="0" fontId="74" fillId="0" borderId="8">
      <alignment horizontal="left" vertical="center"/>
    </xf>
    <xf numFmtId="0" fontId="75" fillId="0" borderId="0">
      <alignment horizontal="right"/>
    </xf>
    <xf numFmtId="0" fontId="75" fillId="0" borderId="0">
      <alignment horizontal="left"/>
    </xf>
    <xf numFmtId="247" fontId="76" fillId="0" borderId="0">
      <protection locked="0"/>
    </xf>
    <xf numFmtId="247" fontId="76" fillId="0" borderId="0">
      <protection locked="0"/>
    </xf>
    <xf numFmtId="0" fontId="77" fillId="0" borderId="33" applyNumberFormat="0" applyFill="0" applyBorder="0" applyAlignment="0" applyProtection="0">
      <alignment horizontal="left"/>
    </xf>
    <xf numFmtId="0" fontId="78" fillId="0" borderId="0">
      <alignment horizontal="center"/>
    </xf>
    <xf numFmtId="3" fontId="32" fillId="0" borderId="0" applyNumberFormat="0" applyFill="0" applyBorder="0" applyAlignment="0" applyProtection="0"/>
    <xf numFmtId="180" fontId="79" fillId="0" borderId="0" applyFont="0" applyFill="0" applyBorder="0" applyAlignment="0" applyProtection="0"/>
    <xf numFmtId="10" fontId="3" fillId="15" borderId="10" applyNumberFormat="0" applyBorder="0" applyAlignment="0" applyProtection="0"/>
    <xf numFmtId="168" fontId="80" fillId="15" borderId="9" applyNumberFormat="0" applyBorder="0" applyAlignment="0">
      <protection locked="0"/>
    </xf>
    <xf numFmtId="38" fontId="81" fillId="0" borderId="0"/>
    <xf numFmtId="40" fontId="4" fillId="0" borderId="0"/>
    <xf numFmtId="248" fontId="13" fillId="0" borderId="0">
      <alignment horizontal="left"/>
    </xf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37" fontId="82" fillId="0" borderId="0" applyNumberFormat="0" applyFill="0" applyBorder="0" applyAlignment="0" applyProtection="0">
      <alignment horizontal="right"/>
    </xf>
    <xf numFmtId="197" fontId="14" fillId="0" borderId="0">
      <alignment horizontal="right"/>
    </xf>
    <xf numFmtId="249" fontId="14" fillId="0" borderId="0">
      <alignment horizontal="right"/>
    </xf>
    <xf numFmtId="217" fontId="1" fillId="0" borderId="0">
      <alignment horizontal="right"/>
    </xf>
    <xf numFmtId="250" fontId="12" fillId="0" borderId="0">
      <alignment horizontal="right"/>
    </xf>
    <xf numFmtId="0" fontId="83" fillId="0" borderId="0">
      <alignment horizontal="right"/>
    </xf>
    <xf numFmtId="223" fontId="1" fillId="0" borderId="0">
      <alignment horizontal="right"/>
    </xf>
    <xf numFmtId="217" fontId="1" fillId="0" borderId="0">
      <alignment horizontal="right"/>
    </xf>
    <xf numFmtId="0" fontId="12" fillId="0" borderId="0">
      <alignment horizontal="right"/>
    </xf>
    <xf numFmtId="0" fontId="12" fillId="0" borderId="0">
      <alignment horizontal="right"/>
    </xf>
    <xf numFmtId="250" fontId="12" fillId="0" borderId="0">
      <alignment horizontal="right"/>
    </xf>
    <xf numFmtId="0" fontId="83" fillId="0" borderId="0">
      <alignment horizontal="right"/>
    </xf>
    <xf numFmtId="223" fontId="1" fillId="0" borderId="0">
      <alignment horizontal="right"/>
    </xf>
    <xf numFmtId="217" fontId="1" fillId="0" borderId="0">
      <alignment horizontal="right"/>
    </xf>
    <xf numFmtId="0" fontId="83" fillId="0" borderId="0">
      <alignment horizontal="right"/>
    </xf>
    <xf numFmtId="217" fontId="1" fillId="0" borderId="0">
      <alignment horizontal="right"/>
    </xf>
    <xf numFmtId="223" fontId="1" fillId="0" borderId="0">
      <alignment horizontal="right"/>
    </xf>
    <xf numFmtId="217" fontId="1" fillId="0" borderId="0">
      <alignment horizontal="right"/>
    </xf>
    <xf numFmtId="0" fontId="83" fillId="0" borderId="0">
      <alignment horizontal="right"/>
    </xf>
    <xf numFmtId="223" fontId="1" fillId="0" borderId="0">
      <alignment horizontal="right"/>
    </xf>
    <xf numFmtId="217" fontId="1" fillId="0" borderId="0">
      <alignment horizontal="right"/>
    </xf>
    <xf numFmtId="217" fontId="1" fillId="0" borderId="0">
      <alignment horizontal="right"/>
    </xf>
    <xf numFmtId="217" fontId="1" fillId="0" borderId="0">
      <alignment horizontal="right"/>
    </xf>
    <xf numFmtId="251" fontId="83" fillId="0" borderId="0">
      <alignment horizontal="right"/>
    </xf>
    <xf numFmtId="0" fontId="83" fillId="0" borderId="0">
      <alignment horizontal="right"/>
    </xf>
    <xf numFmtId="223" fontId="1" fillId="0" borderId="0">
      <alignment horizontal="right"/>
    </xf>
    <xf numFmtId="217" fontId="1" fillId="0" borderId="0">
      <alignment horizontal="right"/>
    </xf>
    <xf numFmtId="217" fontId="1" fillId="0" borderId="0">
      <alignment horizontal="right"/>
    </xf>
    <xf numFmtId="250" fontId="12" fillId="0" borderId="0">
      <alignment horizontal="right"/>
    </xf>
    <xf numFmtId="250" fontId="12" fillId="0" borderId="0">
      <alignment horizontal="right"/>
    </xf>
    <xf numFmtId="250" fontId="12" fillId="0" borderId="0">
      <alignment horizontal="right"/>
    </xf>
    <xf numFmtId="202" fontId="14" fillId="0" borderId="0">
      <alignment horizontal="right"/>
    </xf>
    <xf numFmtId="251" fontId="83" fillId="0" borderId="0">
      <alignment horizontal="right"/>
    </xf>
    <xf numFmtId="0" fontId="83" fillId="0" borderId="0">
      <alignment horizontal="right"/>
    </xf>
    <xf numFmtId="223" fontId="1" fillId="0" borderId="0">
      <alignment horizontal="right"/>
    </xf>
    <xf numFmtId="38" fontId="4" fillId="0" borderId="0"/>
    <xf numFmtId="38" fontId="5" fillId="1" borderId="4"/>
    <xf numFmtId="252" fontId="1" fillId="0" borderId="0" applyFont="0" applyFill="0" applyBorder="0" applyAlignment="0" applyProtection="0"/>
    <xf numFmtId="253" fontId="14" fillId="0" borderId="0">
      <alignment horizontal="right"/>
    </xf>
    <xf numFmtId="254" fontId="14" fillId="0" borderId="0">
      <alignment horizontal="right"/>
    </xf>
    <xf numFmtId="0" fontId="1" fillId="11" borderId="2">
      <alignment horizontal="right"/>
    </xf>
    <xf numFmtId="44" fontId="1" fillId="0" borderId="0" applyFont="0" applyFill="0" applyBorder="0" applyAlignment="0" applyProtection="0"/>
    <xf numFmtId="0" fontId="84" fillId="0" borderId="0"/>
    <xf numFmtId="255" fontId="41" fillId="0" borderId="0" applyFont="0" applyFill="0" applyBorder="0" applyProtection="0">
      <alignment horizontal="right"/>
    </xf>
    <xf numFmtId="256" fontId="1" fillId="0" borderId="0" applyFont="0" applyFill="0" applyBorder="0" applyAlignment="0" applyProtection="0"/>
    <xf numFmtId="257" fontId="1" fillId="0" borderId="0" applyFont="0" applyFill="0" applyBorder="0" applyAlignment="0" applyProtection="0"/>
    <xf numFmtId="258" fontId="1" fillId="0" borderId="0" applyFont="0" applyFill="0" applyBorder="0" applyAlignment="0" applyProtection="0"/>
    <xf numFmtId="259" fontId="1" fillId="0" borderId="0" applyFont="0" applyFill="0" applyBorder="0" applyAlignment="0" applyProtection="0"/>
    <xf numFmtId="260" fontId="1" fillId="0" borderId="0" applyFont="0" applyFill="0" applyBorder="0" applyAlignment="0" applyProtection="0"/>
    <xf numFmtId="261" fontId="41" fillId="0" borderId="0" applyFont="0" applyFill="0" applyBorder="0" applyAlignment="0" applyProtection="0">
      <alignment horizontal="right"/>
    </xf>
    <xf numFmtId="37" fontId="85" fillId="0" borderId="0"/>
    <xf numFmtId="0" fontId="4" fillId="0" borderId="0"/>
    <xf numFmtId="37" fontId="86" fillId="0" borderId="10"/>
    <xf numFmtId="262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263" fontId="1" fillId="0" borderId="0"/>
    <xf numFmtId="263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263" fontId="45" fillId="0" borderId="0"/>
    <xf numFmtId="263" fontId="45" fillId="0" borderId="0"/>
    <xf numFmtId="263" fontId="1" fillId="0" borderId="0"/>
    <xf numFmtId="263" fontId="1" fillId="0" borderId="0"/>
    <xf numFmtId="263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263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263" fontId="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263" fontId="26" fillId="0" borderId="0"/>
    <xf numFmtId="0" fontId="45" fillId="0" borderId="0"/>
    <xf numFmtId="168" fontId="87" fillId="0" borderId="0"/>
    <xf numFmtId="0" fontId="45" fillId="0" borderId="0"/>
    <xf numFmtId="245" fontId="4" fillId="9" borderId="0" applyBorder="0">
      <alignment vertical="center"/>
    </xf>
    <xf numFmtId="0" fontId="1" fillId="0" borderId="0"/>
    <xf numFmtId="0" fontId="4" fillId="0" borderId="0"/>
    <xf numFmtId="1" fontId="40" fillId="0" borderId="0">
      <alignment horizontal="right"/>
      <protection locked="0"/>
    </xf>
    <xf numFmtId="232" fontId="58" fillId="0" borderId="0">
      <alignment horizontal="right"/>
      <protection locked="0"/>
    </xf>
    <xf numFmtId="0" fontId="40" fillId="0" borderId="0">
      <protection locked="0"/>
    </xf>
    <xf numFmtId="2" fontId="58" fillId="0" borderId="0">
      <alignment horizontal="right"/>
      <protection locked="0"/>
    </xf>
    <xf numFmtId="2" fontId="40" fillId="0" borderId="0">
      <alignment horizontal="right"/>
      <protection locked="0"/>
    </xf>
    <xf numFmtId="264" fontId="1" fillId="0" borderId="0" applyFont="0" applyBorder="0" applyAlignment="0">
      <alignment horizontal="centerContinuous"/>
    </xf>
    <xf numFmtId="0" fontId="1" fillId="0" borderId="34" applyNumberFormat="0" applyFont="0" applyFill="0" applyAlignment="0" applyProtection="0"/>
    <xf numFmtId="0" fontId="88" fillId="0" borderId="0" applyProtection="0">
      <alignment horizontal="left"/>
    </xf>
    <xf numFmtId="0" fontId="88" fillId="0" borderId="0" applyFill="0" applyBorder="0" applyProtection="0">
      <alignment horizontal="left"/>
    </xf>
    <xf numFmtId="0" fontId="89" fillId="0" borderId="0" applyFill="0" applyBorder="0" applyProtection="0">
      <alignment horizontal="left"/>
    </xf>
    <xf numFmtId="1" fontId="90" fillId="0" borderId="0" applyProtection="0">
      <alignment horizontal="right" vertical="center"/>
    </xf>
    <xf numFmtId="0" fontId="47" fillId="0" borderId="0" applyNumberFormat="0" applyFill="0" applyBorder="0" applyAlignment="0" applyProtection="0"/>
    <xf numFmtId="232" fontId="1" fillId="0" borderId="0" applyFill="0"/>
    <xf numFmtId="0" fontId="5" fillId="0" borderId="35" applyNumberFormat="0" applyAlignment="0" applyProtection="0"/>
    <xf numFmtId="0" fontId="4" fillId="16" borderId="0" applyNumberFormat="0" applyFont="0" applyBorder="0" applyAlignment="0" applyProtection="0"/>
    <xf numFmtId="0" fontId="3" fillId="17" borderId="36" applyNumberFormat="0" applyFont="0" applyBorder="0" applyAlignment="0" applyProtection="0">
      <alignment horizontal="center"/>
    </xf>
    <xf numFmtId="0" fontId="3" fillId="18" borderId="36" applyNumberFormat="0" applyFont="0" applyBorder="0" applyAlignment="0" applyProtection="0">
      <alignment horizontal="center"/>
    </xf>
    <xf numFmtId="0" fontId="4" fillId="0" borderId="37" applyNumberFormat="0" applyAlignment="0" applyProtection="0"/>
    <xf numFmtId="0" fontId="4" fillId="0" borderId="38" applyNumberFormat="0" applyAlignment="0" applyProtection="0"/>
    <xf numFmtId="0" fontId="5" fillId="0" borderId="39" applyNumberFormat="0" applyAlignment="0" applyProtection="0"/>
    <xf numFmtId="49" fontId="91" fillId="0" borderId="4" applyFill="0" applyProtection="0">
      <alignment vertical="center"/>
    </xf>
    <xf numFmtId="244" fontId="14" fillId="0" borderId="0"/>
    <xf numFmtId="265" fontId="14" fillId="0" borderId="0"/>
    <xf numFmtId="14" fontId="13" fillId="0" borderId="0">
      <alignment horizontal="center" wrapText="1"/>
      <protection locked="0"/>
    </xf>
    <xf numFmtId="0" fontId="13" fillId="0" borderId="0">
      <alignment horizontal="right"/>
    </xf>
    <xf numFmtId="0" fontId="14" fillId="0" borderId="0"/>
    <xf numFmtId="0" fontId="14" fillId="0" borderId="0"/>
    <xf numFmtId="9" fontId="39" fillId="0" borderId="0" applyFont="0" applyBorder="0"/>
    <xf numFmtId="10" fontId="39" fillId="0" borderId="0" applyBorder="0"/>
    <xf numFmtId="209" fontId="1" fillId="0" borderId="0" applyFont="0" applyFill="0" applyBorder="0" applyAlignment="0" applyProtection="0"/>
    <xf numFmtId="266" fontId="46" fillId="0" borderId="0" applyFont="0" applyFill="0" applyBorder="0" applyAlignment="0" applyProtection="0"/>
    <xf numFmtId="165" fontId="54" fillId="0" borderId="0" applyFont="0" applyFill="0" applyBorder="0" applyAlignment="0" applyProtection="0"/>
    <xf numFmtId="10" fontId="1" fillId="0" borderId="0" applyFont="0" applyFill="0" applyBorder="0" applyAlignment="0" applyProtection="0"/>
    <xf numFmtId="165" fontId="13" fillId="0" borderId="0">
      <alignment horizontal="right"/>
    </xf>
    <xf numFmtId="9" fontId="1" fillId="0" borderId="0" applyFont="0" applyFill="0" applyBorder="0" applyAlignment="0" applyProtection="0"/>
    <xf numFmtId="10" fontId="13" fillId="0" borderId="0">
      <alignment horizontal="right"/>
    </xf>
    <xf numFmtId="9" fontId="1" fillId="0" borderId="0" applyFont="0" applyFill="0" applyBorder="0" applyAlignment="0" applyProtection="0"/>
    <xf numFmtId="267" fontId="13" fillId="0" borderId="0" applyFont="0" applyFill="0" applyBorder="0" applyProtection="0">
      <alignment horizontal="right"/>
    </xf>
    <xf numFmtId="9" fontId="13" fillId="0" borderId="0">
      <alignment horizontal="right"/>
    </xf>
    <xf numFmtId="165" fontId="13" fillId="0" borderId="0"/>
    <xf numFmtId="165" fontId="40" fillId="0" borderId="0"/>
    <xf numFmtId="10" fontId="13" fillId="0" borderId="0"/>
    <xf numFmtId="10" fontId="40" fillId="0" borderId="0">
      <protection locked="0"/>
    </xf>
    <xf numFmtId="268" fontId="1" fillId="0" borderId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200" fontId="14" fillId="0" borderId="0">
      <alignment horizontal="right"/>
    </xf>
    <xf numFmtId="269" fontId="1" fillId="0" borderId="0">
      <alignment horizontal="right"/>
      <protection locked="0"/>
    </xf>
    <xf numFmtId="0" fontId="52" fillId="0" borderId="0" applyNumberFormat="0" applyFont="0" applyFill="0" applyBorder="0" applyAlignment="0" applyProtection="0">
      <alignment horizontal="left"/>
    </xf>
    <xf numFmtId="15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0" fontId="30" fillId="0" borderId="12">
      <alignment horizontal="center"/>
    </xf>
    <xf numFmtId="3" fontId="52" fillId="0" borderId="0" applyFont="0" applyFill="0" applyBorder="0" applyAlignment="0" applyProtection="0"/>
    <xf numFmtId="0" fontId="52" fillId="19" borderId="0" applyNumberFormat="0" applyFont="0" applyBorder="0" applyAlignment="0" applyProtection="0"/>
    <xf numFmtId="270" fontId="12" fillId="2" borderId="0"/>
    <xf numFmtId="271" fontId="1" fillId="2" borderId="0"/>
    <xf numFmtId="0" fontId="15" fillId="2" borderId="0"/>
    <xf numFmtId="271" fontId="1" fillId="2" borderId="0"/>
    <xf numFmtId="0" fontId="15" fillId="2" borderId="0"/>
    <xf numFmtId="272" fontId="1" fillId="2" borderId="0"/>
    <xf numFmtId="273" fontId="1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2" fontId="1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2" fontId="1" fillId="2" borderId="0"/>
    <xf numFmtId="272" fontId="1" fillId="2" borderId="0"/>
    <xf numFmtId="273" fontId="1" fillId="2" borderId="0"/>
    <xf numFmtId="271" fontId="1" fillId="2" borderId="0"/>
    <xf numFmtId="0" fontId="15" fillId="2" borderId="0"/>
    <xf numFmtId="271" fontId="1" fillId="2" borderId="0"/>
    <xf numFmtId="0" fontId="15" fillId="2" borderId="0"/>
    <xf numFmtId="272" fontId="1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2" fontId="1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2" fontId="1" fillId="2" borderId="0"/>
    <xf numFmtId="272" fontId="1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0" fontId="15" fillId="2" borderId="0"/>
    <xf numFmtId="271" fontId="1" fillId="2" borderId="0"/>
    <xf numFmtId="0" fontId="15" fillId="2" borderId="0"/>
    <xf numFmtId="272" fontId="1" fillId="2" borderId="0"/>
    <xf numFmtId="272" fontId="1" fillId="2" borderId="0"/>
    <xf numFmtId="260" fontId="47" fillId="2" borderId="0"/>
    <xf numFmtId="260" fontId="47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0" fontId="15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1" fontId="1" fillId="2" borderId="0"/>
    <xf numFmtId="272" fontId="1" fillId="2" borderId="0"/>
    <xf numFmtId="272" fontId="1" fillId="2" borderId="0"/>
    <xf numFmtId="260" fontId="47" fillId="2" borderId="0"/>
    <xf numFmtId="260" fontId="47" fillId="2" borderId="0"/>
    <xf numFmtId="0" fontId="92" fillId="0" borderId="0">
      <alignment horizontal="center"/>
    </xf>
    <xf numFmtId="0" fontId="12" fillId="0" borderId="4">
      <alignment horizontal="centerContinuous"/>
    </xf>
    <xf numFmtId="257" fontId="14" fillId="2" borderId="0">
      <alignment horizontal="right"/>
    </xf>
    <xf numFmtId="249" fontId="83" fillId="0" borderId="0">
      <alignment horizontal="center"/>
    </xf>
    <xf numFmtId="259" fontId="14" fillId="2" borderId="2">
      <alignment horizontal="right"/>
    </xf>
    <xf numFmtId="0" fontId="93" fillId="20" borderId="0" applyNumberFormat="0" applyFont="0" applyBorder="0" applyAlignment="0">
      <alignment horizontal="center"/>
    </xf>
    <xf numFmtId="39" fontId="51" fillId="7" borderId="0"/>
    <xf numFmtId="14" fontId="94" fillId="0" borderId="0" applyNumberFormat="0" applyFill="0" applyBorder="0" applyAlignment="0" applyProtection="0">
      <alignment horizontal="left"/>
    </xf>
    <xf numFmtId="0" fontId="95" fillId="0" borderId="0" applyNumberFormat="0" applyFill="0" applyBorder="0" applyProtection="0">
      <alignment horizontal="right" vertical="center"/>
    </xf>
    <xf numFmtId="0" fontId="96" fillId="0" borderId="0"/>
    <xf numFmtId="4" fontId="97" fillId="5" borderId="40" applyNumberFormat="0" applyProtection="0">
      <alignment vertical="center"/>
    </xf>
    <xf numFmtId="4" fontId="98" fillId="3" borderId="40" applyNumberFormat="0" applyProtection="0">
      <alignment vertical="center"/>
    </xf>
    <xf numFmtId="4" fontId="97" fillId="3" borderId="40" applyNumberFormat="0" applyProtection="0">
      <alignment horizontal="left" vertical="center" indent="1"/>
    </xf>
    <xf numFmtId="263" fontId="97" fillId="3" borderId="40" applyNumberFormat="0" applyProtection="0">
      <alignment horizontal="left" vertical="top" indent="1"/>
    </xf>
    <xf numFmtId="4" fontId="97" fillId="21" borderId="0" applyNumberFormat="0" applyProtection="0">
      <alignment horizontal="left" vertical="center" indent="1"/>
    </xf>
    <xf numFmtId="4" fontId="48" fillId="22" borderId="40" applyNumberFormat="0" applyProtection="0">
      <alignment horizontal="right" vertical="center"/>
    </xf>
    <xf numFmtId="4" fontId="48" fillId="23" borderId="40" applyNumberFormat="0" applyProtection="0">
      <alignment horizontal="right" vertical="center"/>
    </xf>
    <xf numFmtId="4" fontId="48" fillId="24" borderId="40" applyNumberFormat="0" applyProtection="0">
      <alignment horizontal="right" vertical="center"/>
    </xf>
    <xf numFmtId="4" fontId="48" fillId="25" borderId="40" applyNumberFormat="0" applyProtection="0">
      <alignment horizontal="right" vertical="center"/>
    </xf>
    <xf numFmtId="4" fontId="48" fillId="26" borderId="40" applyNumberFormat="0" applyProtection="0">
      <alignment horizontal="right" vertical="center"/>
    </xf>
    <xf numFmtId="4" fontId="48" fillId="27" borderId="40" applyNumberFormat="0" applyProtection="0">
      <alignment horizontal="right" vertical="center"/>
    </xf>
    <xf numFmtId="4" fontId="48" fillId="28" borderId="40" applyNumberFormat="0" applyProtection="0">
      <alignment horizontal="right" vertical="center"/>
    </xf>
    <xf numFmtId="4" fontId="48" fillId="29" borderId="40" applyNumberFormat="0" applyProtection="0">
      <alignment horizontal="right" vertical="center"/>
    </xf>
    <xf numFmtId="4" fontId="48" fillId="30" borderId="40" applyNumberFormat="0" applyProtection="0">
      <alignment horizontal="right" vertical="center"/>
    </xf>
    <xf numFmtId="4" fontId="97" fillId="31" borderId="41" applyNumberFormat="0" applyProtection="0">
      <alignment horizontal="left" vertical="center" indent="1"/>
    </xf>
    <xf numFmtId="4" fontId="48" fillId="32" borderId="0" applyNumberFormat="0" applyProtection="0">
      <alignment horizontal="left" vertical="center" indent="1"/>
    </xf>
    <xf numFmtId="4" fontId="99" fillId="33" borderId="0" applyNumberFormat="0" applyProtection="0">
      <alignment horizontal="left" vertical="center" indent="1"/>
    </xf>
    <xf numFmtId="4" fontId="48" fillId="34" borderId="40" applyNumberFormat="0" applyProtection="0">
      <alignment horizontal="right" vertical="center"/>
    </xf>
    <xf numFmtId="4" fontId="48" fillId="32" borderId="0" applyNumberFormat="0" applyProtection="0">
      <alignment horizontal="left" vertical="center" indent="1"/>
    </xf>
    <xf numFmtId="4" fontId="48" fillId="21" borderId="0" applyNumberFormat="0" applyProtection="0">
      <alignment horizontal="left" vertical="center" indent="1"/>
    </xf>
    <xf numFmtId="263" fontId="1" fillId="33" borderId="40" applyNumberFormat="0" applyProtection="0">
      <alignment horizontal="left" vertical="center" indent="1"/>
    </xf>
    <xf numFmtId="263" fontId="1" fillId="33" borderId="40" applyNumberFormat="0" applyProtection="0">
      <alignment horizontal="left" vertical="top" indent="1"/>
    </xf>
    <xf numFmtId="263" fontId="1" fillId="21" borderId="40" applyNumberFormat="0" applyProtection="0">
      <alignment horizontal="left" vertical="center" indent="1"/>
    </xf>
    <xf numFmtId="263" fontId="1" fillId="21" borderId="40" applyNumberFormat="0" applyProtection="0">
      <alignment horizontal="left" vertical="top" indent="1"/>
    </xf>
    <xf numFmtId="263" fontId="1" fillId="18" borderId="40" applyNumberFormat="0" applyProtection="0">
      <alignment horizontal="left" vertical="center" indent="1"/>
    </xf>
    <xf numFmtId="263" fontId="1" fillId="18" borderId="40" applyNumberFormat="0" applyProtection="0">
      <alignment horizontal="left" vertical="top" indent="1"/>
    </xf>
    <xf numFmtId="263" fontId="1" fillId="17" borderId="40" applyNumberFormat="0" applyProtection="0">
      <alignment horizontal="left" vertical="center" indent="1"/>
    </xf>
    <xf numFmtId="263" fontId="1" fillId="17" borderId="40" applyNumberFormat="0" applyProtection="0">
      <alignment horizontal="left" vertical="top" indent="1"/>
    </xf>
    <xf numFmtId="4" fontId="48" fillId="15" borderId="40" applyNumberFormat="0" applyProtection="0">
      <alignment vertical="center"/>
    </xf>
    <xf numFmtId="4" fontId="100" fillId="15" borderId="40" applyNumberFormat="0" applyProtection="0">
      <alignment vertical="center"/>
    </xf>
    <xf numFmtId="4" fontId="48" fillId="15" borderId="40" applyNumberFormat="0" applyProtection="0">
      <alignment horizontal="left" vertical="center" indent="1"/>
    </xf>
    <xf numFmtId="263" fontId="48" fillId="15" borderId="40" applyNumberFormat="0" applyProtection="0">
      <alignment horizontal="left" vertical="top" indent="1"/>
    </xf>
    <xf numFmtId="4" fontId="48" fillId="32" borderId="40" applyNumberFormat="0" applyProtection="0">
      <alignment horizontal="right" vertical="center"/>
    </xf>
    <xf numFmtId="4" fontId="100" fillId="32" borderId="40" applyNumberFormat="0" applyProtection="0">
      <alignment horizontal="right" vertical="center"/>
    </xf>
    <xf numFmtId="4" fontId="48" fillId="34" borderId="40" applyNumberFormat="0" applyProtection="0">
      <alignment horizontal="left" vertical="center" indent="1"/>
    </xf>
    <xf numFmtId="263" fontId="48" fillId="21" borderId="40" applyNumberFormat="0" applyProtection="0">
      <alignment horizontal="left" vertical="top" indent="1"/>
    </xf>
    <xf numFmtId="4" fontId="101" fillId="35" borderId="0" applyNumberFormat="0" applyProtection="0">
      <alignment horizontal="left" vertical="center" indent="1"/>
    </xf>
    <xf numFmtId="4" fontId="102" fillId="32" borderId="40" applyNumberFormat="0" applyProtection="0">
      <alignment horizontal="right" vertical="center"/>
    </xf>
    <xf numFmtId="0" fontId="103" fillId="0" borderId="42"/>
    <xf numFmtId="0" fontId="4" fillId="36" borderId="0" applyNumberFormat="0" applyFont="0" applyBorder="0" applyAlignment="0" applyProtection="0"/>
    <xf numFmtId="0" fontId="93" fillId="1" borderId="8" applyNumberFormat="0" applyFont="0" applyAlignment="0">
      <alignment horizontal="center"/>
    </xf>
    <xf numFmtId="274" fontId="27" fillId="0" borderId="0" applyFont="0" applyFill="0" applyBorder="0" applyAlignment="0" applyProtection="0"/>
    <xf numFmtId="42" fontId="2" fillId="0" borderId="0" applyFill="0" applyBorder="0" applyAlignment="0" applyProtection="0"/>
    <xf numFmtId="0" fontId="104" fillId="0" borderId="0" applyNumberFormat="0" applyFill="0" applyBorder="0" applyAlignment="0">
      <alignment horizontal="center"/>
    </xf>
    <xf numFmtId="0" fontId="26" fillId="0" borderId="5"/>
    <xf numFmtId="0" fontId="74" fillId="35" borderId="0"/>
    <xf numFmtId="0" fontId="105" fillId="35" borderId="0"/>
    <xf numFmtId="0" fontId="106" fillId="0" borderId="43"/>
    <xf numFmtId="0" fontId="26" fillId="0" borderId="0"/>
    <xf numFmtId="0" fontId="26" fillId="0" borderId="13"/>
    <xf numFmtId="275" fontId="11" fillId="3" borderId="10"/>
    <xf numFmtId="49" fontId="97" fillId="0" borderId="4">
      <alignment horizontal="center"/>
    </xf>
    <xf numFmtId="0" fontId="1" fillId="0" borderId="0" applyNumberFormat="0" applyBorder="0"/>
    <xf numFmtId="0" fontId="107" fillId="36" borderId="44" applyNumberFormat="0"/>
    <xf numFmtId="0" fontId="108" fillId="0" borderId="45" applyNumberFormat="0">
      <alignment horizontal="right"/>
    </xf>
    <xf numFmtId="0" fontId="108" fillId="0" borderId="46" applyNumberFormat="0">
      <alignment horizontal="right"/>
    </xf>
    <xf numFmtId="0" fontId="108" fillId="0" borderId="47" applyNumberFormat="0">
      <alignment horizontal="right"/>
    </xf>
    <xf numFmtId="276" fontId="1" fillId="0" borderId="48"/>
    <xf numFmtId="276" fontId="1" fillId="0" borderId="0" applyBorder="0"/>
    <xf numFmtId="276" fontId="1" fillId="0" borderId="49"/>
    <xf numFmtId="276" fontId="1" fillId="37" borderId="48"/>
    <xf numFmtId="276" fontId="1" fillId="37" borderId="0" applyBorder="0"/>
    <xf numFmtId="276" fontId="1" fillId="37" borderId="49"/>
    <xf numFmtId="277" fontId="1" fillId="0" borderId="49"/>
    <xf numFmtId="277" fontId="1" fillId="0" borderId="0" applyBorder="0"/>
    <xf numFmtId="277" fontId="1" fillId="37" borderId="0" applyBorder="0"/>
    <xf numFmtId="277" fontId="1" fillId="37" borderId="49"/>
    <xf numFmtId="277" fontId="1" fillId="37" borderId="48"/>
    <xf numFmtId="277" fontId="1" fillId="0" borderId="48"/>
    <xf numFmtId="278" fontId="1" fillId="0" borderId="49"/>
    <xf numFmtId="278" fontId="1" fillId="0" borderId="0" applyBorder="0"/>
    <xf numFmtId="278" fontId="1" fillId="37" borderId="0" applyBorder="0"/>
    <xf numFmtId="278" fontId="1" fillId="37" borderId="49"/>
    <xf numFmtId="278" fontId="1" fillId="37" borderId="48"/>
    <xf numFmtId="278" fontId="1" fillId="0" borderId="48"/>
    <xf numFmtId="0" fontId="108" fillId="0" borderId="48" applyNumberFormat="0">
      <alignment horizontal="right"/>
    </xf>
    <xf numFmtId="0" fontId="108" fillId="37" borderId="48" applyNumberFormat="0">
      <alignment horizontal="right"/>
    </xf>
    <xf numFmtId="276" fontId="1" fillId="0" borderId="45"/>
    <xf numFmtId="276" fontId="1" fillId="0" borderId="46"/>
    <xf numFmtId="276" fontId="1" fillId="0" borderId="47"/>
    <xf numFmtId="277" fontId="1" fillId="0" borderId="45"/>
    <xf numFmtId="277" fontId="1" fillId="0" borderId="46"/>
    <xf numFmtId="277" fontId="1" fillId="0" borderId="47"/>
    <xf numFmtId="278" fontId="1" fillId="0" borderId="45"/>
    <xf numFmtId="278" fontId="1" fillId="0" borderId="46"/>
    <xf numFmtId="278" fontId="1" fillId="0" borderId="47"/>
    <xf numFmtId="43" fontId="45" fillId="25" borderId="50">
      <alignment horizontal="left"/>
    </xf>
    <xf numFmtId="0" fontId="1" fillId="0" borderId="0" applyNumberFormat="0" applyBorder="0"/>
    <xf numFmtId="0" fontId="107" fillId="36" borderId="44" applyNumberFormat="0"/>
    <xf numFmtId="0" fontId="108" fillId="0" borderId="45" applyNumberFormat="0">
      <alignment horizontal="right"/>
    </xf>
    <xf numFmtId="0" fontId="108" fillId="0" borderId="46" applyNumberFormat="0">
      <alignment horizontal="right"/>
    </xf>
    <xf numFmtId="0" fontId="108" fillId="0" borderId="47" applyNumberFormat="0">
      <alignment horizontal="right"/>
    </xf>
    <xf numFmtId="278" fontId="1" fillId="0" borderId="49"/>
    <xf numFmtId="278" fontId="1" fillId="0" borderId="0" applyBorder="0"/>
    <xf numFmtId="278" fontId="1" fillId="37" borderId="0" applyBorder="0"/>
    <xf numFmtId="278" fontId="1" fillId="37" borderId="49"/>
    <xf numFmtId="278" fontId="1" fillId="37" borderId="48"/>
    <xf numFmtId="278" fontId="1" fillId="0" borderId="48"/>
    <xf numFmtId="0" fontId="108" fillId="0" borderId="48" applyNumberFormat="0">
      <alignment horizontal="right"/>
    </xf>
    <xf numFmtId="0" fontId="108" fillId="37" borderId="48" applyNumberFormat="0">
      <alignment horizontal="right"/>
    </xf>
    <xf numFmtId="278" fontId="1" fillId="0" borderId="45"/>
    <xf numFmtId="278" fontId="1" fillId="0" borderId="46"/>
    <xf numFmtId="278" fontId="1" fillId="0" borderId="47"/>
    <xf numFmtId="0" fontId="1" fillId="0" borderId="0" applyNumberFormat="0" applyBorder="0"/>
    <xf numFmtId="0" fontId="107" fillId="36" borderId="45" applyNumberFormat="0">
      <alignment horizontal="right"/>
    </xf>
    <xf numFmtId="0" fontId="107" fillId="36" borderId="46" applyNumberFormat="0">
      <alignment horizontal="right"/>
    </xf>
    <xf numFmtId="0" fontId="107" fillId="36" borderId="47" applyNumberFormat="0">
      <alignment horizontal="right"/>
    </xf>
    <xf numFmtId="0" fontId="107" fillId="36" borderId="44" applyNumberFormat="0"/>
    <xf numFmtId="278" fontId="1" fillId="0" borderId="49"/>
    <xf numFmtId="278" fontId="1" fillId="0" borderId="0" applyBorder="0"/>
    <xf numFmtId="0" fontId="1" fillId="0" borderId="0" applyNumberFormat="0" applyFont="0" applyFill="0" applyBorder="0" applyAlignment="0" applyProtection="0"/>
    <xf numFmtId="0" fontId="107" fillId="36" borderId="44" applyNumberFormat="0" applyAlignment="0" applyProtection="0"/>
    <xf numFmtId="0" fontId="108" fillId="0" borderId="45" applyNumberFormat="0" applyFill="0" applyProtection="0">
      <alignment horizontal="right"/>
    </xf>
    <xf numFmtId="0" fontId="108" fillId="0" borderId="46" applyNumberFormat="0" applyFill="0" applyProtection="0">
      <alignment horizontal="right"/>
    </xf>
    <xf numFmtId="0" fontId="108" fillId="0" borderId="47" applyNumberFormat="0" applyFill="0" applyProtection="0">
      <alignment horizontal="right"/>
    </xf>
    <xf numFmtId="276" fontId="1" fillId="0" borderId="48" applyFont="0" applyFill="0" applyAlignment="0" applyProtection="0"/>
    <xf numFmtId="276" fontId="1" fillId="0" borderId="0" applyFont="0" applyFill="0" applyBorder="0" applyAlignment="0" applyProtection="0"/>
    <xf numFmtId="276" fontId="1" fillId="0" borderId="49" applyFont="0" applyFill="0" applyAlignment="0" applyProtection="0"/>
    <xf numFmtId="276" fontId="1" fillId="37" borderId="48" applyFont="0" applyAlignment="0" applyProtection="0"/>
    <xf numFmtId="276" fontId="1" fillId="37" borderId="0" applyFont="0" applyBorder="0" applyAlignment="0" applyProtection="0"/>
    <xf numFmtId="276" fontId="1" fillId="37" borderId="49" applyFont="0" applyAlignment="0" applyProtection="0"/>
    <xf numFmtId="277" fontId="1" fillId="0" borderId="49" applyFont="0" applyFill="0" applyAlignment="0" applyProtection="0"/>
    <xf numFmtId="277" fontId="1" fillId="0" borderId="0" applyFont="0" applyFill="0" applyBorder="0" applyAlignment="0" applyProtection="0"/>
    <xf numFmtId="277" fontId="1" fillId="37" borderId="0" applyFont="0" applyBorder="0" applyAlignment="0" applyProtection="0"/>
    <xf numFmtId="277" fontId="1" fillId="37" borderId="49" applyFont="0" applyAlignment="0" applyProtection="0"/>
    <xf numFmtId="277" fontId="1" fillId="37" borderId="48" applyFont="0" applyAlignment="0" applyProtection="0"/>
    <xf numFmtId="277" fontId="1" fillId="0" borderId="48" applyFont="0" applyFill="0" applyAlignment="0" applyProtection="0"/>
    <xf numFmtId="278" fontId="1" fillId="0" borderId="49" applyFont="0" applyFill="0" applyAlignment="0" applyProtection="0"/>
    <xf numFmtId="278" fontId="1" fillId="0" borderId="0" applyFont="0" applyFill="0" applyBorder="0" applyAlignment="0" applyProtection="0"/>
    <xf numFmtId="278" fontId="1" fillId="37" borderId="0" applyFont="0" applyBorder="0" applyAlignment="0" applyProtection="0"/>
    <xf numFmtId="278" fontId="1" fillId="37" borderId="49" applyFont="0" applyAlignment="0" applyProtection="0"/>
    <xf numFmtId="278" fontId="1" fillId="37" borderId="48" applyFont="0" applyAlignment="0" applyProtection="0"/>
    <xf numFmtId="278" fontId="1" fillId="0" borderId="48" applyFont="0" applyFill="0" applyAlignment="0" applyProtection="0"/>
    <xf numFmtId="0" fontId="108" fillId="0" borderId="48" applyNumberFormat="0" applyFill="0" applyProtection="0">
      <alignment horizontal="right"/>
    </xf>
    <xf numFmtId="0" fontId="108" fillId="37" borderId="48" applyNumberFormat="0" applyProtection="0">
      <alignment horizontal="right"/>
    </xf>
    <xf numFmtId="276" fontId="1" fillId="0" borderId="45" applyFill="0" applyAlignment="0" applyProtection="0"/>
    <xf numFmtId="276" fontId="1" fillId="0" borderId="46" applyFont="0" applyFill="0" applyAlignment="0" applyProtection="0"/>
    <xf numFmtId="276" fontId="1" fillId="0" borderId="47" applyFont="0" applyFill="0" applyAlignment="0" applyProtection="0"/>
    <xf numFmtId="277" fontId="1" fillId="0" borderId="45" applyFill="0" applyAlignment="0" applyProtection="0"/>
    <xf numFmtId="277" fontId="1" fillId="0" borderId="46" applyFont="0" applyFill="0" applyAlignment="0" applyProtection="0"/>
    <xf numFmtId="277" fontId="1" fillId="0" borderId="47" applyFont="0" applyFill="0" applyAlignment="0" applyProtection="0"/>
    <xf numFmtId="278" fontId="1" fillId="0" borderId="45" applyFill="0" applyAlignment="0" applyProtection="0"/>
    <xf numFmtId="278" fontId="1" fillId="0" borderId="46" applyFont="0" applyFill="0" applyAlignment="0" applyProtection="0"/>
    <xf numFmtId="278" fontId="1" fillId="0" borderId="47" applyFont="0" applyFill="0" applyAlignment="0" applyProtection="0"/>
    <xf numFmtId="0" fontId="107" fillId="36" borderId="44" applyNumberFormat="0"/>
    <xf numFmtId="0" fontId="108" fillId="0" borderId="45" applyNumberFormat="0">
      <alignment horizontal="right"/>
    </xf>
    <xf numFmtId="0" fontId="1" fillId="0" borderId="51" applyNumberFormat="0"/>
    <xf numFmtId="0" fontId="1" fillId="0" borderId="52" applyNumberFormat="0"/>
    <xf numFmtId="0" fontId="1" fillId="0" borderId="48" applyNumberFormat="0"/>
    <xf numFmtId="0" fontId="1" fillId="0" borderId="49" applyNumberFormat="0"/>
    <xf numFmtId="0" fontId="1" fillId="0" borderId="53" applyNumberFormat="0"/>
    <xf numFmtId="0" fontId="1" fillId="0" borderId="54" applyNumberFormat="0"/>
    <xf numFmtId="277" fontId="1" fillId="0" borderId="49"/>
    <xf numFmtId="277" fontId="1" fillId="0" borderId="0" applyBorder="0"/>
    <xf numFmtId="277" fontId="1" fillId="37" borderId="0" applyBorder="0"/>
    <xf numFmtId="277" fontId="1" fillId="37" borderId="49"/>
    <xf numFmtId="278" fontId="1" fillId="0" borderId="49"/>
    <xf numFmtId="278" fontId="1" fillId="0" borderId="0" applyBorder="0"/>
    <xf numFmtId="278" fontId="1" fillId="37" borderId="0" applyBorder="0"/>
    <xf numFmtId="278" fontId="1" fillId="37" borderId="49"/>
    <xf numFmtId="0" fontId="108" fillId="0" borderId="48" applyNumberFormat="0">
      <alignment horizontal="right"/>
    </xf>
    <xf numFmtId="0" fontId="108" fillId="37" borderId="48" applyNumberFormat="0">
      <alignment horizontal="right"/>
    </xf>
    <xf numFmtId="0" fontId="1" fillId="0" borderId="55" applyNumberFormat="0"/>
    <xf numFmtId="0" fontId="1" fillId="38" borderId="0" applyNumberFormat="0" applyBorder="0"/>
    <xf numFmtId="0" fontId="1" fillId="0" borderId="0" applyNumberFormat="0" applyFont="0" applyFill="0" applyBorder="0" applyAlignment="0" applyProtection="0"/>
    <xf numFmtId="0" fontId="107" fillId="36" borderId="44" applyNumberFormat="0" applyAlignment="0" applyProtection="0"/>
    <xf numFmtId="0" fontId="108" fillId="0" borderId="45" applyNumberFormat="0" applyFill="0" applyProtection="0">
      <alignment horizontal="right"/>
    </xf>
    <xf numFmtId="0" fontId="108" fillId="0" borderId="46" applyNumberFormat="0" applyFill="0" applyProtection="0">
      <alignment horizontal="right"/>
    </xf>
    <xf numFmtId="0" fontId="108" fillId="0" borderId="47" applyNumberFormat="0" applyFill="0" applyProtection="0">
      <alignment horizontal="right"/>
    </xf>
    <xf numFmtId="278" fontId="1" fillId="0" borderId="49" applyFont="0" applyFill="0" applyAlignment="0" applyProtection="0"/>
    <xf numFmtId="278" fontId="1" fillId="0" borderId="0" applyFont="0" applyFill="0" applyBorder="0" applyAlignment="0" applyProtection="0"/>
    <xf numFmtId="278" fontId="1" fillId="37" borderId="0" applyFont="0" applyBorder="0" applyAlignment="0" applyProtection="0"/>
    <xf numFmtId="278" fontId="1" fillId="37" borderId="49" applyFont="0" applyAlignment="0" applyProtection="0"/>
    <xf numFmtId="278" fontId="1" fillId="37" borderId="48" applyFont="0" applyAlignment="0" applyProtection="0"/>
    <xf numFmtId="278" fontId="1" fillId="0" borderId="48" applyFont="0" applyFill="0" applyAlignment="0" applyProtection="0"/>
    <xf numFmtId="0" fontId="108" fillId="0" borderId="48" applyNumberFormat="0" applyFill="0" applyProtection="0">
      <alignment horizontal="right"/>
    </xf>
    <xf numFmtId="0" fontId="108" fillId="37" borderId="48" applyNumberFormat="0" applyProtection="0">
      <alignment horizontal="right"/>
    </xf>
    <xf numFmtId="278" fontId="1" fillId="0" borderId="45" applyFill="0" applyAlignment="0" applyProtection="0"/>
    <xf numFmtId="278" fontId="1" fillId="0" borderId="46" applyFont="0" applyFill="0" applyAlignment="0" applyProtection="0"/>
    <xf numFmtId="278" fontId="1" fillId="0" borderId="47" applyFont="0" applyFill="0" applyAlignment="0" applyProtection="0"/>
    <xf numFmtId="279" fontId="108" fillId="0" borderId="48">
      <alignment horizontal="right"/>
    </xf>
    <xf numFmtId="279" fontId="108" fillId="37" borderId="48">
      <alignment horizontal="right"/>
    </xf>
    <xf numFmtId="277" fontId="1" fillId="0" borderId="48"/>
    <xf numFmtId="277" fontId="1" fillId="37" borderId="48"/>
    <xf numFmtId="278" fontId="1" fillId="0" borderId="49"/>
    <xf numFmtId="278" fontId="1" fillId="37" borderId="49"/>
    <xf numFmtId="280" fontId="1" fillId="0" borderId="48"/>
    <xf numFmtId="276" fontId="1" fillId="37" borderId="48"/>
    <xf numFmtId="280" fontId="1" fillId="0" borderId="49"/>
    <xf numFmtId="280" fontId="1" fillId="37" borderId="49"/>
    <xf numFmtId="0" fontId="1" fillId="0" borderId="55" applyNumberFormat="0"/>
    <xf numFmtId="278" fontId="1" fillId="0" borderId="48"/>
    <xf numFmtId="278" fontId="1" fillId="37" borderId="48"/>
    <xf numFmtId="0" fontId="1" fillId="0" borderId="0" applyNumberFormat="0" applyFont="0" applyFill="0" applyBorder="0" applyAlignment="0" applyProtection="0"/>
    <xf numFmtId="0" fontId="107" fillId="36" borderId="45" applyNumberFormat="0" applyProtection="0">
      <alignment horizontal="right"/>
    </xf>
    <xf numFmtId="0" fontId="107" fillId="36" borderId="46" applyNumberFormat="0" applyProtection="0">
      <alignment horizontal="right"/>
    </xf>
    <xf numFmtId="0" fontId="107" fillId="36" borderId="47" applyNumberFormat="0" applyProtection="0">
      <alignment horizontal="right"/>
    </xf>
    <xf numFmtId="0" fontId="107" fillId="36" borderId="44" applyNumberFormat="0" applyAlignment="0" applyProtection="0"/>
    <xf numFmtId="278" fontId="1" fillId="0" borderId="49" applyFont="0" applyFill="0" applyAlignment="0" applyProtection="0"/>
    <xf numFmtId="278" fontId="1" fillId="0" borderId="0" applyFont="0" applyFill="0" applyBorder="0" applyAlignment="0" applyProtection="0"/>
    <xf numFmtId="278" fontId="1" fillId="37" borderId="0" applyFont="0" applyBorder="0" applyAlignment="0" applyProtection="0"/>
    <xf numFmtId="278" fontId="1" fillId="37" borderId="49" applyFont="0" applyAlignment="0" applyProtection="0"/>
    <xf numFmtId="278" fontId="1" fillId="37" borderId="48" applyFont="0" applyAlignment="0" applyProtection="0"/>
    <xf numFmtId="278" fontId="1" fillId="0" borderId="48" applyFont="0" applyFill="0" applyAlignment="0" applyProtection="0"/>
    <xf numFmtId="0" fontId="108" fillId="0" borderId="48" applyNumberFormat="0" applyFill="0" applyProtection="0">
      <alignment horizontal="right"/>
    </xf>
    <xf numFmtId="0" fontId="108" fillId="37" borderId="48" applyNumberFormat="0" applyProtection="0">
      <alignment horizontal="right"/>
    </xf>
    <xf numFmtId="0" fontId="1" fillId="0" borderId="55" applyNumberFormat="0" applyFont="0" applyFill="0" applyAlignment="0" applyProtection="0"/>
    <xf numFmtId="0" fontId="1" fillId="0" borderId="55" applyNumberFormat="0"/>
    <xf numFmtId="278" fontId="1" fillId="0" borderId="48"/>
    <xf numFmtId="278" fontId="1" fillId="37" borderId="48"/>
    <xf numFmtId="278" fontId="109" fillId="38" borderId="48"/>
    <xf numFmtId="278" fontId="109" fillId="38" borderId="49"/>
    <xf numFmtId="277" fontId="109" fillId="38" borderId="48"/>
    <xf numFmtId="276" fontId="109" fillId="38" borderId="48"/>
    <xf numFmtId="276" fontId="109" fillId="38" borderId="49"/>
    <xf numFmtId="0" fontId="109" fillId="38" borderId="48" applyNumberFormat="0">
      <alignment horizontal="right"/>
    </xf>
    <xf numFmtId="0" fontId="1" fillId="0" borderId="0" applyNumberFormat="0" applyFont="0" applyFill="0" applyBorder="0" applyAlignment="0" applyProtection="0"/>
    <xf numFmtId="0" fontId="1" fillId="0" borderId="10" applyNumberFormat="0" applyFont="0" applyFill="0" applyProtection="0">
      <alignment horizontal="center"/>
    </xf>
    <xf numFmtId="0" fontId="107" fillId="36" borderId="44" applyNumberFormat="0" applyAlignment="0" applyProtection="0"/>
    <xf numFmtId="0" fontId="108" fillId="0" borderId="45" applyNumberFormat="0" applyFill="0" applyProtection="0">
      <alignment horizontal="right"/>
    </xf>
    <xf numFmtId="0" fontId="108" fillId="0" borderId="46" applyNumberFormat="0" applyFill="0" applyProtection="0">
      <alignment horizontal="right"/>
    </xf>
    <xf numFmtId="0" fontId="108" fillId="0" borderId="47" applyNumberFormat="0" applyFill="0" applyProtection="0">
      <alignment horizontal="right"/>
    </xf>
    <xf numFmtId="276" fontId="1" fillId="0" borderId="0" applyFill="0" applyBorder="0" applyAlignment="0" applyProtection="0"/>
    <xf numFmtId="276" fontId="1" fillId="0" borderId="49" applyFont="0" applyFill="0" applyAlignment="0" applyProtection="0"/>
    <xf numFmtId="276" fontId="1" fillId="37" borderId="0" applyBorder="0" applyAlignment="0" applyProtection="0"/>
    <xf numFmtId="276" fontId="1" fillId="37" borderId="49" applyFont="0" applyAlignment="0" applyProtection="0"/>
    <xf numFmtId="277" fontId="1" fillId="0" borderId="49" applyFont="0" applyFill="0" applyAlignment="0" applyProtection="0"/>
    <xf numFmtId="277" fontId="1" fillId="0" borderId="0" applyFill="0" applyBorder="0" applyAlignment="0" applyProtection="0"/>
    <xf numFmtId="277" fontId="1" fillId="37" borderId="0" applyBorder="0" applyAlignment="0" applyProtection="0"/>
    <xf numFmtId="277" fontId="1" fillId="37" borderId="49" applyFont="0" applyAlignment="0" applyProtection="0"/>
    <xf numFmtId="278" fontId="1" fillId="0" borderId="49" applyFont="0" applyFill="0" applyAlignment="0" applyProtection="0"/>
    <xf numFmtId="278" fontId="1" fillId="0" borderId="0" applyFont="0" applyFill="0" applyBorder="0" applyAlignment="0" applyProtection="0"/>
    <xf numFmtId="278" fontId="1" fillId="37" borderId="0" applyBorder="0" applyAlignment="0" applyProtection="0"/>
    <xf numFmtId="278" fontId="1" fillId="37" borderId="49" applyFont="0" applyAlignment="0" applyProtection="0"/>
    <xf numFmtId="0" fontId="108" fillId="0" borderId="48" applyNumberFormat="0" applyFill="0" applyProtection="0">
      <alignment horizontal="right"/>
    </xf>
    <xf numFmtId="0" fontId="108" fillId="37" borderId="48" applyNumberFormat="0" applyProtection="0">
      <alignment horizontal="right"/>
    </xf>
    <xf numFmtId="0" fontId="1" fillId="0" borderId="55" applyNumberFormat="0" applyFont="0" applyFill="0" applyAlignment="0" applyProtection="0"/>
    <xf numFmtId="279" fontId="108" fillId="0" borderId="48" applyFill="0" applyProtection="0">
      <alignment horizontal="right"/>
    </xf>
    <xf numFmtId="279" fontId="108" fillId="37" borderId="48" applyProtection="0">
      <alignment horizontal="right"/>
    </xf>
    <xf numFmtId="277" fontId="1" fillId="0" borderId="48" applyFont="0" applyFill="0" applyAlignment="0" applyProtection="0"/>
    <xf numFmtId="277" fontId="1" fillId="37" borderId="48" applyFont="0" applyAlignment="0" applyProtection="0"/>
    <xf numFmtId="278" fontId="1" fillId="0" borderId="49" applyFont="0" applyFill="0" applyAlignment="0" applyProtection="0"/>
    <xf numFmtId="278" fontId="1" fillId="37" borderId="49" applyFont="0" applyAlignment="0" applyProtection="0"/>
    <xf numFmtId="280" fontId="1" fillId="0" borderId="48" applyFont="0" applyFill="0" applyAlignment="0" applyProtection="0"/>
    <xf numFmtId="276" fontId="1" fillId="37" borderId="48" applyFont="0" applyAlignment="0" applyProtection="0"/>
    <xf numFmtId="280" fontId="1" fillId="0" borderId="49" applyFont="0" applyFill="0" applyAlignment="0" applyProtection="0"/>
    <xf numFmtId="280" fontId="1" fillId="37" borderId="49" applyFont="0" applyAlignment="0" applyProtection="0"/>
    <xf numFmtId="0" fontId="1" fillId="0" borderId="55" applyNumberFormat="0" applyFont="0" applyFill="0" applyAlignment="0" applyProtection="0"/>
    <xf numFmtId="278" fontId="1" fillId="0" borderId="48" applyFont="0" applyFill="0" applyAlignment="0" applyProtection="0"/>
    <xf numFmtId="278" fontId="1" fillId="37" borderId="48" applyFont="0" applyAlignment="0" applyProtection="0"/>
    <xf numFmtId="0" fontId="108" fillId="0" borderId="48" applyNumberFormat="0" applyFill="0" applyProtection="0">
      <alignment horizontal="right"/>
    </xf>
    <xf numFmtId="0" fontId="108" fillId="37" borderId="48" applyNumberFormat="0" applyProtection="0">
      <alignment horizontal="right"/>
    </xf>
    <xf numFmtId="277" fontId="1" fillId="0" borderId="48" applyFont="0" applyFill="0" applyAlignment="0" applyProtection="0"/>
    <xf numFmtId="277" fontId="1" fillId="37" borderId="48" applyFont="0" applyAlignment="0" applyProtection="0"/>
    <xf numFmtId="278" fontId="1" fillId="0" borderId="49" applyFont="0" applyFill="0" applyAlignment="0" applyProtection="0"/>
    <xf numFmtId="278" fontId="1" fillId="37" borderId="49" applyFont="0" applyAlignment="0" applyProtection="0"/>
    <xf numFmtId="280" fontId="1" fillId="0" borderId="48" applyFont="0" applyFill="0" applyAlignment="0" applyProtection="0"/>
    <xf numFmtId="276" fontId="1" fillId="37" borderId="48" applyFont="0" applyAlignment="0" applyProtection="0"/>
    <xf numFmtId="280" fontId="1" fillId="0" borderId="49" applyFont="0" applyFill="0" applyAlignment="0" applyProtection="0"/>
    <xf numFmtId="280" fontId="1" fillId="37" borderId="49" applyFont="0" applyAlignment="0" applyProtection="0"/>
    <xf numFmtId="0" fontId="1" fillId="0" borderId="55" applyNumberFormat="0" applyFont="0" applyFill="0" applyAlignment="0" applyProtection="0"/>
    <xf numFmtId="278" fontId="1" fillId="0" borderId="48" applyFont="0" applyFill="0" applyAlignment="0" applyProtection="0"/>
    <xf numFmtId="278" fontId="1" fillId="37" borderId="48" applyFont="0" applyAlignment="0" applyProtection="0"/>
    <xf numFmtId="278" fontId="109" fillId="38" borderId="48" applyAlignment="0" applyProtection="0"/>
    <xf numFmtId="278" fontId="109" fillId="38" borderId="49" applyAlignment="0" applyProtection="0"/>
    <xf numFmtId="277" fontId="109" fillId="38" borderId="48" applyAlignment="0" applyProtection="0"/>
    <xf numFmtId="276" fontId="109" fillId="38" borderId="48" applyAlignment="0" applyProtection="0"/>
    <xf numFmtId="276" fontId="109" fillId="38" borderId="49" applyAlignment="0" applyProtection="0"/>
    <xf numFmtId="0" fontId="109" fillId="38" borderId="48" applyNumberFormat="0" applyProtection="0">
      <alignment horizontal="right"/>
    </xf>
    <xf numFmtId="0" fontId="1" fillId="9" borderId="48" applyNumberFormat="0" applyFont="0" applyProtection="0">
      <alignment horizontal="left"/>
    </xf>
    <xf numFmtId="0" fontId="1" fillId="37" borderId="48" applyNumberFormat="0" applyFont="0" applyProtection="0">
      <alignment horizontal="left"/>
    </xf>
    <xf numFmtId="0" fontId="1" fillId="9" borderId="48" applyNumberFormat="0" applyFont="0" applyProtection="0">
      <alignment horizontal="right"/>
    </xf>
    <xf numFmtId="0" fontId="1" fillId="37" borderId="48" applyNumberFormat="0" applyFont="0" applyProtection="0">
      <alignment horizontal="right"/>
    </xf>
    <xf numFmtId="0" fontId="1" fillId="9" borderId="48" applyNumberFormat="0" applyFont="0" applyProtection="0">
      <alignment horizontal="center"/>
    </xf>
    <xf numFmtId="0" fontId="1" fillId="37" borderId="48" applyNumberFormat="0" applyFont="0" applyProtection="0">
      <alignment horizontal="center"/>
    </xf>
    <xf numFmtId="0" fontId="1" fillId="0" borderId="55" applyNumberFormat="0" applyFont="0" applyFill="0" applyAlignment="0" applyProtection="0"/>
    <xf numFmtId="0" fontId="1" fillId="0" borderId="48" applyNumberFormat="0" applyFont="0" applyFill="0" applyAlignment="0" applyProtection="0"/>
    <xf numFmtId="0" fontId="1" fillId="0" borderId="45" applyNumberFormat="0" applyFont="0" applyFill="0" applyAlignment="0" applyProtection="0"/>
    <xf numFmtId="0" fontId="1" fillId="0" borderId="46" applyNumberFormat="0" applyFont="0" applyFill="0" applyAlignment="0" applyProtection="0"/>
    <xf numFmtId="281" fontId="1" fillId="37" borderId="48" applyFont="0" applyProtection="0">
      <alignment horizontal="left"/>
    </xf>
    <xf numFmtId="281" fontId="1" fillId="9" borderId="48" applyFont="0" applyProtection="0">
      <alignment horizontal="left"/>
    </xf>
    <xf numFmtId="0" fontId="1" fillId="0" borderId="55" applyNumberFormat="0" applyFont="0" applyFill="0" applyAlignment="0" applyProtection="0"/>
    <xf numFmtId="0" fontId="1" fillId="0" borderId="0" applyNumberFormat="0" applyFont="0" applyFill="0" applyAlignment="0" applyProtection="0"/>
    <xf numFmtId="0" fontId="1" fillId="0" borderId="51" applyNumberFormat="0" applyFont="0" applyFill="0" applyAlignment="0" applyProtection="0"/>
    <xf numFmtId="0" fontId="1" fillId="0" borderId="52" applyNumberFormat="0" applyFont="0" applyFill="0" applyAlignment="0" applyProtection="0"/>
    <xf numFmtId="0" fontId="1" fillId="0" borderId="48" applyNumberFormat="0" applyFont="0" applyFill="0" applyAlignment="0" applyProtection="0"/>
    <xf numFmtId="0" fontId="1" fillId="0" borderId="49" applyNumberFormat="0" applyFont="0" applyFill="0" applyAlignment="0" applyProtection="0"/>
    <xf numFmtId="0" fontId="1" fillId="0" borderId="53" applyNumberFormat="0" applyFont="0" applyFill="0" applyAlignment="0" applyProtection="0"/>
    <xf numFmtId="0" fontId="1" fillId="0" borderId="54" applyNumberFormat="0" applyFont="0" applyFill="0" applyAlignment="0" applyProtection="0"/>
    <xf numFmtId="0" fontId="48" fillId="0" borderId="0" applyNumberFormat="0" applyBorder="0" applyAlignment="0"/>
    <xf numFmtId="263" fontId="48" fillId="0" borderId="0" applyNumberFormat="0" applyBorder="0" applyAlignment="0"/>
    <xf numFmtId="0" fontId="11" fillId="0" borderId="0" applyNumberFormat="0" applyBorder="0" applyAlignment="0"/>
    <xf numFmtId="0" fontId="26" fillId="0" borderId="0"/>
    <xf numFmtId="263" fontId="97" fillId="0" borderId="0" applyNumberFormat="0" applyBorder="0" applyAlignment="0"/>
    <xf numFmtId="263" fontId="97" fillId="0" borderId="0" applyNumberFormat="0" applyBorder="0" applyAlignment="0"/>
    <xf numFmtId="263" fontId="48" fillId="0" borderId="0" applyNumberFormat="0" applyBorder="0" applyAlignment="0"/>
    <xf numFmtId="0" fontId="97" fillId="0" borderId="0" applyNumberFormat="0" applyBorder="0" applyAlignment="0"/>
    <xf numFmtId="0" fontId="97" fillId="0" borderId="0" applyNumberFormat="0" applyBorder="0" applyAlignment="0"/>
    <xf numFmtId="0" fontId="110" fillId="0" borderId="0" applyNumberFormat="0" applyFill="0" applyBorder="0" applyProtection="0">
      <alignment horizontal="left" vertical="center"/>
    </xf>
    <xf numFmtId="0" fontId="89" fillId="0" borderId="0"/>
    <xf numFmtId="38" fontId="4" fillId="0" borderId="1"/>
    <xf numFmtId="0" fontId="111" fillId="0" borderId="0" applyFill="0" applyBorder="0" applyProtection="0">
      <alignment horizontal="center" vertical="center"/>
    </xf>
    <xf numFmtId="0" fontId="112" fillId="0" borderId="0" applyBorder="0" applyProtection="0">
      <alignment vertical="center"/>
    </xf>
    <xf numFmtId="231" fontId="112" fillId="0" borderId="4" applyBorder="0" applyProtection="0">
      <alignment horizontal="right" vertical="center"/>
    </xf>
    <xf numFmtId="0" fontId="113" fillId="39" borderId="0" applyBorder="0" applyProtection="0">
      <alignment horizontal="centerContinuous" vertical="center"/>
    </xf>
    <xf numFmtId="0" fontId="113" fillId="4" borderId="4" applyBorder="0" applyProtection="0">
      <alignment horizontal="centerContinuous" vertical="center"/>
    </xf>
    <xf numFmtId="0" fontId="114" fillId="0" borderId="43"/>
    <xf numFmtId="0" fontId="111" fillId="0" borderId="0" applyFill="0" applyBorder="0" applyProtection="0"/>
    <xf numFmtId="0" fontId="108" fillId="0" borderId="0" applyFill="0" applyBorder="0" applyProtection="0">
      <alignment horizontal="left"/>
    </xf>
    <xf numFmtId="0" fontId="115" fillId="0" borderId="0" applyFill="0" applyBorder="0" applyProtection="0">
      <alignment horizontal="left" vertical="top"/>
    </xf>
    <xf numFmtId="0" fontId="1" fillId="0" borderId="56" applyNumberFormat="0" applyProtection="0">
      <alignment horizontal="left" vertical="center"/>
    </xf>
    <xf numFmtId="0" fontId="1" fillId="0" borderId="0" applyNumberFormat="0" applyFill="0" applyBorder="0" applyProtection="0">
      <alignment horizontal="left" vertical="top" wrapText="1" indent="1"/>
    </xf>
    <xf numFmtId="0" fontId="116" fillId="0" borderId="57" applyNumberFormat="0" applyProtection="0">
      <alignment horizontal="centerContinuous" vertical="center"/>
    </xf>
    <xf numFmtId="49" fontId="117" fillId="0" borderId="0"/>
    <xf numFmtId="0" fontId="40" fillId="0" borderId="0">
      <alignment horizontal="left"/>
      <protection locked="0"/>
    </xf>
    <xf numFmtId="49" fontId="48" fillId="0" borderId="0" applyFill="0" applyBorder="0" applyAlignment="0"/>
    <xf numFmtId="209" fontId="1" fillId="0" borderId="0" applyFill="0" applyBorder="0" applyAlignment="0"/>
    <xf numFmtId="209" fontId="1" fillId="0" borderId="0" applyFill="0" applyBorder="0" applyAlignment="0"/>
    <xf numFmtId="0" fontId="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40" fontId="118" fillId="0" borderId="0"/>
    <xf numFmtId="0" fontId="6" fillId="0" borderId="0" applyNumberFormat="0" applyFont="0" applyBorder="0" applyAlignment="0"/>
    <xf numFmtId="0" fontId="119" fillId="0" borderId="58"/>
    <xf numFmtId="248" fontId="5" fillId="0" borderId="0">
      <alignment horizontal="centerContinuous"/>
    </xf>
    <xf numFmtId="248" fontId="120" fillId="0" borderId="43">
      <alignment horizontal="centerContinuous"/>
    </xf>
    <xf numFmtId="248" fontId="121" fillId="0" borderId="0">
      <alignment horizontal="centerContinuous"/>
      <protection locked="0"/>
    </xf>
    <xf numFmtId="248" fontId="121" fillId="0" borderId="0">
      <alignment horizontal="left"/>
    </xf>
    <xf numFmtId="0" fontId="122" fillId="0" borderId="0">
      <alignment horizontal="center"/>
    </xf>
    <xf numFmtId="0" fontId="122" fillId="0" borderId="0">
      <alignment horizontal="left"/>
    </xf>
    <xf numFmtId="0" fontId="123" fillId="0" borderId="0"/>
    <xf numFmtId="0" fontId="31" fillId="0" borderId="13"/>
    <xf numFmtId="0" fontId="26" fillId="0" borderId="13"/>
    <xf numFmtId="0" fontId="124" fillId="0" borderId="0"/>
    <xf numFmtId="282" fontId="1" fillId="0" borderId="0">
      <alignment horizontal="right"/>
    </xf>
    <xf numFmtId="204" fontId="125" fillId="0" borderId="0">
      <alignment horizontal="left"/>
      <protection locked="0"/>
    </xf>
    <xf numFmtId="228" fontId="120" fillId="0" borderId="0">
      <alignment horizontal="right"/>
    </xf>
    <xf numFmtId="229" fontId="1" fillId="0" borderId="0">
      <alignment horizontal="right"/>
    </xf>
    <xf numFmtId="1" fontId="120" fillId="0" borderId="0">
      <alignment horizontal="left"/>
    </xf>
    <xf numFmtId="227" fontId="120" fillId="0" borderId="0">
      <alignment horizontal="right"/>
    </xf>
    <xf numFmtId="0" fontId="31" fillId="0" borderId="0"/>
    <xf numFmtId="170" fontId="126" fillId="0" borderId="0"/>
    <xf numFmtId="0" fontId="115" fillId="12" borderId="0">
      <alignment horizontal="right"/>
    </xf>
    <xf numFmtId="170" fontId="115" fillId="12" borderId="0">
      <alignment horizontal="right"/>
    </xf>
    <xf numFmtId="170" fontId="115" fillId="12" borderId="0">
      <alignment horizontal="right"/>
    </xf>
    <xf numFmtId="0" fontId="115" fillId="12" borderId="0">
      <alignment horizontal="right"/>
    </xf>
    <xf numFmtId="170" fontId="115" fillId="12" borderId="0">
      <alignment horizontal="right"/>
    </xf>
    <xf numFmtId="170" fontId="115" fillId="12" borderId="0">
      <alignment horizontal="right"/>
    </xf>
    <xf numFmtId="204" fontId="13" fillId="0" borderId="0" applyFont="0" applyFill="0" applyBorder="0" applyProtection="0">
      <alignment horizontal="right"/>
    </xf>
    <xf numFmtId="0" fontId="2" fillId="0" borderId="0" applyFont="0" applyFill="0" applyBorder="0" applyAlignment="0" applyProtection="0"/>
    <xf numFmtId="283" fontId="121" fillId="0" borderId="36">
      <alignment horizontal="center"/>
    </xf>
    <xf numFmtId="0" fontId="127" fillId="0" borderId="0"/>
    <xf numFmtId="0" fontId="128" fillId="0" borderId="0"/>
    <xf numFmtId="0" fontId="16" fillId="0" borderId="14" applyNumberFormat="0" applyFill="0" applyAlignment="0" applyProtection="0"/>
    <xf numFmtId="0" fontId="129" fillId="41" borderId="0" applyNumberFormat="0" applyFill="0" applyBorder="0" applyAlignment="0" applyProtection="0"/>
    <xf numFmtId="0" fontId="137" fillId="44" borderId="67" applyNumberFormat="0" applyFont="0" applyBorder="0" applyAlignment="0" applyProtection="0"/>
    <xf numFmtId="37" fontId="26" fillId="0" borderId="0"/>
    <xf numFmtId="0" fontId="138" fillId="0" borderId="0" applyNumberFormat="0" applyFill="0" applyBorder="0" applyAlignment="0" applyProtection="0">
      <alignment vertical="top"/>
      <protection locked="0"/>
    </xf>
    <xf numFmtId="0" fontId="140" fillId="0" borderId="0"/>
    <xf numFmtId="0" fontId="154" fillId="0" borderId="0" applyNumberFormat="0" applyFill="0" applyBorder="0" applyAlignment="0" applyProtection="0"/>
    <xf numFmtId="37" fontId="156" fillId="0" borderId="0"/>
    <xf numFmtId="0" fontId="1" fillId="0" borderId="0"/>
    <xf numFmtId="0" fontId="6" fillId="0" borderId="74" applyNumberFormat="0" applyFill="0" applyAlignment="0" applyProtection="0"/>
    <xf numFmtId="5" fontId="30" fillId="0" borderId="81" applyAlignment="0" applyProtection="0"/>
    <xf numFmtId="204" fontId="4" fillId="0" borderId="84" applyNumberFormat="0" applyFont="0" applyAlignment="0" applyProtection="0"/>
    <xf numFmtId="7" fontId="31" fillId="0" borderId="82"/>
    <xf numFmtId="0" fontId="6" fillId="0" borderId="74" applyNumberFormat="0" applyFont="0" applyFill="0" applyProtection="0">
      <alignment horizontal="centerContinuous" vertical="center"/>
    </xf>
    <xf numFmtId="0" fontId="37" fillId="0" borderId="74" applyNumberFormat="0" applyFill="0" applyBorder="0" applyProtection="0">
      <alignment horizontal="right" vertical="center"/>
    </xf>
    <xf numFmtId="37" fontId="31" fillId="0" borderId="83"/>
    <xf numFmtId="165" fontId="61" fillId="9" borderId="81">
      <alignment horizontal="right" vertical="center"/>
    </xf>
    <xf numFmtId="233" fontId="46" fillId="9" borderId="74">
      <alignment horizontal="right" vertical="center"/>
    </xf>
    <xf numFmtId="223" fontId="46" fillId="9" borderId="74">
      <alignment horizontal="right" vertical="center"/>
    </xf>
    <xf numFmtId="232" fontId="57" fillId="9" borderId="74" applyBorder="0">
      <alignment horizontal="left" vertical="center"/>
    </xf>
    <xf numFmtId="232" fontId="57" fillId="9" borderId="85">
      <alignment horizontal="left"/>
    </xf>
    <xf numFmtId="232" fontId="13" fillId="9" borderId="81">
      <alignment vertical="center"/>
    </xf>
    <xf numFmtId="232" fontId="5" fillId="9" borderId="86">
      <alignment horizontal="center" vertical="center"/>
    </xf>
    <xf numFmtId="39" fontId="51" fillId="7" borderId="87"/>
    <xf numFmtId="39" fontId="51" fillId="7" borderId="87"/>
    <xf numFmtId="39" fontId="69" fillId="7" borderId="87"/>
    <xf numFmtId="39" fontId="69" fillId="12" borderId="87"/>
    <xf numFmtId="38" fontId="5" fillId="1" borderId="74"/>
    <xf numFmtId="168" fontId="9" fillId="0" borderId="0"/>
    <xf numFmtId="0" fontId="4" fillId="0" borderId="88" applyNumberFormat="0" applyAlignment="0" applyProtection="0"/>
    <xf numFmtId="0" fontId="12" fillId="0" borderId="74">
      <alignment horizontal="centerContinuous"/>
    </xf>
    <xf numFmtId="4" fontId="97" fillId="5" borderId="89" applyNumberFormat="0" applyProtection="0">
      <alignment vertical="center"/>
    </xf>
    <xf numFmtId="4" fontId="98" fillId="3" borderId="89" applyNumberFormat="0" applyProtection="0">
      <alignment vertical="center"/>
    </xf>
    <xf numFmtId="4" fontId="97" fillId="3" borderId="89" applyNumberFormat="0" applyProtection="0">
      <alignment horizontal="left" vertical="center" indent="1"/>
    </xf>
    <xf numFmtId="263" fontId="97" fillId="3" borderId="89" applyNumberFormat="0" applyProtection="0">
      <alignment horizontal="left" vertical="top" indent="1"/>
    </xf>
    <xf numFmtId="4" fontId="48" fillId="22" borderId="89" applyNumberFormat="0" applyProtection="0">
      <alignment horizontal="right" vertical="center"/>
    </xf>
    <xf numFmtId="4" fontId="48" fillId="23" borderId="89" applyNumberFormat="0" applyProtection="0">
      <alignment horizontal="right" vertical="center"/>
    </xf>
    <xf numFmtId="4" fontId="48" fillId="24" borderId="89" applyNumberFormat="0" applyProtection="0">
      <alignment horizontal="right" vertical="center"/>
    </xf>
    <xf numFmtId="4" fontId="48" fillId="25" borderId="89" applyNumberFormat="0" applyProtection="0">
      <alignment horizontal="right" vertical="center"/>
    </xf>
    <xf numFmtId="4" fontId="48" fillId="26" borderId="89" applyNumberFormat="0" applyProtection="0">
      <alignment horizontal="right" vertical="center"/>
    </xf>
    <xf numFmtId="4" fontId="48" fillId="27" borderId="89" applyNumberFormat="0" applyProtection="0">
      <alignment horizontal="right" vertical="center"/>
    </xf>
    <xf numFmtId="4" fontId="48" fillId="28" borderId="89" applyNumberFormat="0" applyProtection="0">
      <alignment horizontal="right" vertical="center"/>
    </xf>
    <xf numFmtId="4" fontId="48" fillId="29" borderId="89" applyNumberFormat="0" applyProtection="0">
      <alignment horizontal="right" vertical="center"/>
    </xf>
    <xf numFmtId="4" fontId="48" fillId="30" borderId="89" applyNumberFormat="0" applyProtection="0">
      <alignment horizontal="right" vertical="center"/>
    </xf>
    <xf numFmtId="4" fontId="48" fillId="34" borderId="89" applyNumberFormat="0" applyProtection="0">
      <alignment horizontal="right" vertical="center"/>
    </xf>
    <xf numFmtId="263" fontId="1" fillId="33" borderId="89" applyNumberFormat="0" applyProtection="0">
      <alignment horizontal="left" vertical="center" indent="1"/>
    </xf>
    <xf numFmtId="263" fontId="1" fillId="33" borderId="89" applyNumberFormat="0" applyProtection="0">
      <alignment horizontal="left" vertical="top" indent="1"/>
    </xf>
    <xf numFmtId="263" fontId="1" fillId="21" borderId="89" applyNumberFormat="0" applyProtection="0">
      <alignment horizontal="left" vertical="center" indent="1"/>
    </xf>
    <xf numFmtId="263" fontId="1" fillId="21" borderId="89" applyNumberFormat="0" applyProtection="0">
      <alignment horizontal="left" vertical="top" indent="1"/>
    </xf>
    <xf numFmtId="263" fontId="1" fillId="18" borderId="89" applyNumberFormat="0" applyProtection="0">
      <alignment horizontal="left" vertical="center" indent="1"/>
    </xf>
    <xf numFmtId="263" fontId="1" fillId="18" borderId="89" applyNumberFormat="0" applyProtection="0">
      <alignment horizontal="left" vertical="top" indent="1"/>
    </xf>
    <xf numFmtId="263" fontId="1" fillId="17" borderId="89" applyNumberFormat="0" applyProtection="0">
      <alignment horizontal="left" vertical="center" indent="1"/>
    </xf>
    <xf numFmtId="263" fontId="1" fillId="17" borderId="89" applyNumberFormat="0" applyProtection="0">
      <alignment horizontal="left" vertical="top" indent="1"/>
    </xf>
    <xf numFmtId="4" fontId="48" fillId="15" borderId="89" applyNumberFormat="0" applyProtection="0">
      <alignment vertical="center"/>
    </xf>
    <xf numFmtId="4" fontId="100" fillId="15" borderId="89" applyNumberFormat="0" applyProtection="0">
      <alignment vertical="center"/>
    </xf>
    <xf numFmtId="4" fontId="48" fillId="15" borderId="89" applyNumberFormat="0" applyProtection="0">
      <alignment horizontal="left" vertical="center" indent="1"/>
    </xf>
    <xf numFmtId="263" fontId="48" fillId="15" borderId="89" applyNumberFormat="0" applyProtection="0">
      <alignment horizontal="left" vertical="top" indent="1"/>
    </xf>
    <xf numFmtId="4" fontId="48" fillId="32" borderId="89" applyNumberFormat="0" applyProtection="0">
      <alignment horizontal="right" vertical="center"/>
    </xf>
    <xf numFmtId="4" fontId="100" fillId="32" borderId="89" applyNumberFormat="0" applyProtection="0">
      <alignment horizontal="right" vertical="center"/>
    </xf>
    <xf numFmtId="4" fontId="48" fillId="34" borderId="89" applyNumberFormat="0" applyProtection="0">
      <alignment horizontal="left" vertical="center" indent="1"/>
    </xf>
    <xf numFmtId="263" fontId="48" fillId="21" borderId="89" applyNumberFormat="0" applyProtection="0">
      <alignment horizontal="left" vertical="top" indent="1"/>
    </xf>
    <xf numFmtId="4" fontId="102" fillId="32" borderId="89" applyNumberFormat="0" applyProtection="0">
      <alignment horizontal="right" vertical="center"/>
    </xf>
    <xf numFmtId="0" fontId="26" fillId="0" borderId="82"/>
    <xf numFmtId="0" fontId="106" fillId="0" borderId="90"/>
    <xf numFmtId="0" fontId="26" fillId="0" borderId="83"/>
    <xf numFmtId="49" fontId="97" fillId="0" borderId="74">
      <alignment horizontal="center"/>
    </xf>
    <xf numFmtId="0" fontId="107" fillId="36" borderId="91" applyNumberFormat="0"/>
    <xf numFmtId="0" fontId="108" fillId="0" borderId="92" applyNumberFormat="0">
      <alignment horizontal="right"/>
    </xf>
    <xf numFmtId="0" fontId="108" fillId="0" borderId="93" applyNumberFormat="0">
      <alignment horizontal="right"/>
    </xf>
    <xf numFmtId="0" fontId="108" fillId="0" borderId="94" applyNumberFormat="0">
      <alignment horizontal="right"/>
    </xf>
    <xf numFmtId="276" fontId="1" fillId="0" borderId="92"/>
    <xf numFmtId="276" fontId="1" fillId="0" borderId="93"/>
    <xf numFmtId="276" fontId="1" fillId="0" borderId="94"/>
    <xf numFmtId="277" fontId="1" fillId="0" borderId="92"/>
    <xf numFmtId="277" fontId="1" fillId="0" borderId="93"/>
    <xf numFmtId="277" fontId="1" fillId="0" borderId="94"/>
    <xf numFmtId="278" fontId="1" fillId="0" borderId="92"/>
    <xf numFmtId="278" fontId="1" fillId="0" borderId="93"/>
    <xf numFmtId="278" fontId="1" fillId="0" borderId="94"/>
    <xf numFmtId="43" fontId="45" fillId="25" borderId="95">
      <alignment horizontal="left"/>
    </xf>
    <xf numFmtId="0" fontId="107" fillId="36" borderId="91" applyNumberFormat="0"/>
    <xf numFmtId="0" fontId="108" fillId="0" borderId="92" applyNumberFormat="0">
      <alignment horizontal="right"/>
    </xf>
    <xf numFmtId="0" fontId="108" fillId="0" borderId="93" applyNumberFormat="0">
      <alignment horizontal="right"/>
    </xf>
    <xf numFmtId="0" fontId="108" fillId="0" borderId="94" applyNumberFormat="0">
      <alignment horizontal="right"/>
    </xf>
    <xf numFmtId="278" fontId="1" fillId="0" borderId="92"/>
    <xf numFmtId="278" fontId="1" fillId="0" borderId="93"/>
    <xf numFmtId="278" fontId="1" fillId="0" borderId="94"/>
    <xf numFmtId="0" fontId="107" fillId="36" borderId="92" applyNumberFormat="0">
      <alignment horizontal="right"/>
    </xf>
    <xf numFmtId="0" fontId="107" fillId="36" borderId="93" applyNumberFormat="0">
      <alignment horizontal="right"/>
    </xf>
    <xf numFmtId="0" fontId="107" fillId="36" borderId="94" applyNumberFormat="0">
      <alignment horizontal="right"/>
    </xf>
    <xf numFmtId="0" fontId="107" fillId="36" borderId="91" applyNumberFormat="0"/>
    <xf numFmtId="0" fontId="107" fillId="36" borderId="91" applyNumberFormat="0" applyAlignment="0" applyProtection="0"/>
    <xf numFmtId="0" fontId="108" fillId="0" borderId="92" applyNumberFormat="0" applyFill="0" applyProtection="0">
      <alignment horizontal="right"/>
    </xf>
    <xf numFmtId="0" fontId="108" fillId="0" borderId="93" applyNumberFormat="0" applyFill="0" applyProtection="0">
      <alignment horizontal="right"/>
    </xf>
    <xf numFmtId="0" fontId="108" fillId="0" borderId="94" applyNumberFormat="0" applyFill="0" applyProtection="0">
      <alignment horizontal="right"/>
    </xf>
    <xf numFmtId="276" fontId="1" fillId="0" borderId="92" applyFill="0" applyAlignment="0" applyProtection="0"/>
    <xf numFmtId="276" fontId="1" fillId="0" borderId="93" applyFont="0" applyFill="0" applyAlignment="0" applyProtection="0"/>
    <xf numFmtId="276" fontId="1" fillId="0" borderId="94" applyFont="0" applyFill="0" applyAlignment="0" applyProtection="0"/>
    <xf numFmtId="277" fontId="1" fillId="0" borderId="92" applyFill="0" applyAlignment="0" applyProtection="0"/>
    <xf numFmtId="277" fontId="1" fillId="0" borderId="93" applyFont="0" applyFill="0" applyAlignment="0" applyProtection="0"/>
    <xf numFmtId="277" fontId="1" fillId="0" borderId="94" applyFont="0" applyFill="0" applyAlignment="0" applyProtection="0"/>
    <xf numFmtId="278" fontId="1" fillId="0" borderId="92" applyFill="0" applyAlignment="0" applyProtection="0"/>
    <xf numFmtId="278" fontId="1" fillId="0" borderId="93" applyFont="0" applyFill="0" applyAlignment="0" applyProtection="0"/>
    <xf numFmtId="278" fontId="1" fillId="0" borderId="94" applyFont="0" applyFill="0" applyAlignment="0" applyProtection="0"/>
    <xf numFmtId="0" fontId="107" fillId="36" borderId="91" applyNumberFormat="0"/>
    <xf numFmtId="0" fontId="108" fillId="0" borderId="92" applyNumberFormat="0">
      <alignment horizontal="right"/>
    </xf>
    <xf numFmtId="0" fontId="1" fillId="0" borderId="96" applyNumberFormat="0"/>
    <xf numFmtId="0" fontId="1" fillId="0" borderId="97" applyNumberFormat="0"/>
    <xf numFmtId="0" fontId="1" fillId="0" borderId="98" applyNumberFormat="0"/>
    <xf numFmtId="0" fontId="1" fillId="0" borderId="99" applyNumberFormat="0"/>
    <xf numFmtId="0" fontId="1" fillId="0" borderId="100" applyNumberFormat="0"/>
    <xf numFmtId="0" fontId="107" fillId="36" borderId="91" applyNumberFormat="0" applyAlignment="0" applyProtection="0"/>
    <xf numFmtId="0" fontId="108" fillId="0" borderId="92" applyNumberFormat="0" applyFill="0" applyProtection="0">
      <alignment horizontal="right"/>
    </xf>
    <xf numFmtId="0" fontId="108" fillId="0" borderId="93" applyNumberFormat="0" applyFill="0" applyProtection="0">
      <alignment horizontal="right"/>
    </xf>
    <xf numFmtId="0" fontId="108" fillId="0" borderId="94" applyNumberFormat="0" applyFill="0" applyProtection="0">
      <alignment horizontal="right"/>
    </xf>
    <xf numFmtId="278" fontId="1" fillId="0" borderId="92" applyFill="0" applyAlignment="0" applyProtection="0"/>
    <xf numFmtId="278" fontId="1" fillId="0" borderId="93" applyFont="0" applyFill="0" applyAlignment="0" applyProtection="0"/>
    <xf numFmtId="278" fontId="1" fillId="0" borderId="94" applyFont="0" applyFill="0" applyAlignment="0" applyProtection="0"/>
    <xf numFmtId="0" fontId="1" fillId="0" borderId="100" applyNumberFormat="0"/>
    <xf numFmtId="0" fontId="107" fillId="36" borderId="92" applyNumberFormat="0" applyProtection="0">
      <alignment horizontal="right"/>
    </xf>
    <xf numFmtId="0" fontId="107" fillId="36" borderId="93" applyNumberFormat="0" applyProtection="0">
      <alignment horizontal="right"/>
    </xf>
    <xf numFmtId="0" fontId="107" fillId="36" borderId="94" applyNumberFormat="0" applyProtection="0">
      <alignment horizontal="right"/>
    </xf>
    <xf numFmtId="0" fontId="107" fillId="36" borderId="91" applyNumberFormat="0" applyAlignment="0" applyProtection="0"/>
    <xf numFmtId="0" fontId="1" fillId="0" borderId="100" applyNumberFormat="0" applyFont="0" applyFill="0" applyAlignment="0" applyProtection="0"/>
    <xf numFmtId="0" fontId="1" fillId="0" borderId="100" applyNumberFormat="0"/>
    <xf numFmtId="0" fontId="107" fillId="36" borderId="91" applyNumberFormat="0" applyAlignment="0" applyProtection="0"/>
    <xf numFmtId="0" fontId="108" fillId="0" borderId="92" applyNumberFormat="0" applyFill="0" applyProtection="0">
      <alignment horizontal="right"/>
    </xf>
    <xf numFmtId="0" fontId="108" fillId="0" borderId="93" applyNumberFormat="0" applyFill="0" applyProtection="0">
      <alignment horizontal="right"/>
    </xf>
    <xf numFmtId="0" fontId="108" fillId="0" borderId="94" applyNumberFormat="0" applyFill="0" applyProtection="0">
      <alignment horizontal="right"/>
    </xf>
    <xf numFmtId="0" fontId="1" fillId="0" borderId="100" applyNumberFormat="0" applyFont="0" applyFill="0" applyAlignment="0" applyProtection="0"/>
    <xf numFmtId="0" fontId="1" fillId="0" borderId="100" applyNumberFormat="0" applyFont="0" applyFill="0" applyAlignment="0" applyProtection="0"/>
    <xf numFmtId="0" fontId="1" fillId="0" borderId="100" applyNumberFormat="0" applyFont="0" applyFill="0" applyAlignment="0" applyProtection="0"/>
    <xf numFmtId="0" fontId="1" fillId="0" borderId="100" applyNumberFormat="0" applyFont="0" applyFill="0" applyAlignment="0" applyProtection="0"/>
    <xf numFmtId="0" fontId="1" fillId="0" borderId="92" applyNumberFormat="0" applyFont="0" applyFill="0" applyAlignment="0" applyProtection="0"/>
    <xf numFmtId="0" fontId="1" fillId="0" borderId="93" applyNumberFormat="0" applyFont="0" applyFill="0" applyAlignment="0" applyProtection="0"/>
    <xf numFmtId="0" fontId="1" fillId="0" borderId="100" applyNumberFormat="0" applyFont="0" applyFill="0" applyAlignment="0" applyProtection="0"/>
    <xf numFmtId="0" fontId="1" fillId="0" borderId="96" applyNumberFormat="0" applyFont="0" applyFill="0" applyAlignment="0" applyProtection="0"/>
    <xf numFmtId="0" fontId="1" fillId="0" borderId="97" applyNumberFormat="0" applyFont="0" applyFill="0" applyAlignment="0" applyProtection="0"/>
    <xf numFmtId="0" fontId="1" fillId="0" borderId="98" applyNumberFormat="0" applyFont="0" applyFill="0" applyAlignment="0" applyProtection="0"/>
    <xf numFmtId="0" fontId="1" fillId="0" borderId="99" applyNumberFormat="0" applyFont="0" applyFill="0" applyAlignment="0" applyProtection="0"/>
    <xf numFmtId="38" fontId="4" fillId="0" borderId="81"/>
    <xf numFmtId="231" fontId="112" fillId="0" borderId="74" applyBorder="0" applyProtection="0">
      <alignment horizontal="right" vertical="center"/>
    </xf>
    <xf numFmtId="0" fontId="113" fillId="4" borderId="74" applyBorder="0" applyProtection="0">
      <alignment horizontal="centerContinuous" vertical="center"/>
    </xf>
    <xf numFmtId="0" fontId="114" fillId="0" borderId="90"/>
    <xf numFmtId="248" fontId="120" fillId="0" borderId="90">
      <alignment horizontal="centerContinuous"/>
    </xf>
    <xf numFmtId="0" fontId="31" fillId="0" borderId="83"/>
    <xf numFmtId="0" fontId="26" fillId="0" borderId="83"/>
    <xf numFmtId="37" fontId="26" fillId="0" borderId="0"/>
  </cellStyleXfs>
  <cellXfs count="476">
    <xf numFmtId="0" fontId="0" fillId="0" borderId="0" xfId="0"/>
    <xf numFmtId="0" fontId="129" fillId="0" borderId="0" xfId="4" applyFont="1"/>
    <xf numFmtId="0" fontId="130" fillId="0" borderId="0" xfId="4" applyFont="1"/>
    <xf numFmtId="0" fontId="131" fillId="0" borderId="0" xfId="4" applyFont="1"/>
    <xf numFmtId="15" fontId="129" fillId="0" borderId="0" xfId="4" applyNumberFormat="1" applyFont="1"/>
    <xf numFmtId="0" fontId="129" fillId="0" borderId="6" xfId="4" applyFont="1" applyBorder="1"/>
    <xf numFmtId="0" fontId="130" fillId="0" borderId="6" xfId="4" applyFont="1" applyBorder="1"/>
    <xf numFmtId="0" fontId="130" fillId="40" borderId="7" xfId="4" applyFont="1" applyFill="1" applyBorder="1"/>
    <xf numFmtId="0" fontId="130" fillId="40" borderId="8" xfId="4" applyFont="1" applyFill="1" applyBorder="1"/>
    <xf numFmtId="0" fontId="129" fillId="40" borderId="8" xfId="4" applyFont="1" applyFill="1" applyBorder="1"/>
    <xf numFmtId="0" fontId="129" fillId="40" borderId="9" xfId="4" applyFont="1" applyFill="1" applyBorder="1"/>
    <xf numFmtId="14" fontId="132" fillId="3" borderId="10" xfId="4" applyNumberFormat="1" applyFont="1" applyFill="1" applyBorder="1" applyAlignment="1">
      <alignment horizontal="center"/>
    </xf>
    <xf numFmtId="0" fontId="129" fillId="0" borderId="0" xfId="4" applyFont="1" applyAlignment="1">
      <alignment horizontal="center"/>
    </xf>
    <xf numFmtId="0" fontId="133" fillId="0" borderId="0" xfId="4" applyFont="1"/>
    <xf numFmtId="5" fontId="129" fillId="0" borderId="0" xfId="4" applyNumberFormat="1" applyFont="1"/>
    <xf numFmtId="165" fontId="132" fillId="3" borderId="10" xfId="4" applyNumberFormat="1" applyFont="1" applyFill="1" applyBorder="1" applyAlignment="1">
      <alignment horizontal="center"/>
    </xf>
    <xf numFmtId="37" fontId="129" fillId="0" borderId="0" xfId="4" applyNumberFormat="1" applyFont="1"/>
    <xf numFmtId="14" fontId="129" fillId="0" borderId="10" xfId="4" applyNumberFormat="1" applyFont="1" applyBorder="1" applyAlignment="1">
      <alignment horizontal="center"/>
    </xf>
    <xf numFmtId="37" fontId="129" fillId="0" borderId="10" xfId="4" applyNumberFormat="1" applyFont="1" applyBorder="1" applyAlignment="1">
      <alignment horizontal="center"/>
    </xf>
    <xf numFmtId="0" fontId="130" fillId="0" borderId="0" xfId="4" applyFont="1" applyAlignment="1">
      <alignment horizontal="centerContinuous"/>
    </xf>
    <xf numFmtId="0" fontId="130" fillId="0" borderId="5" xfId="4" applyFont="1" applyBorder="1" applyAlignment="1">
      <alignment horizontal="centerContinuous"/>
    </xf>
    <xf numFmtId="0" fontId="130" fillId="0" borderId="0" xfId="4" applyFont="1" applyAlignment="1">
      <alignment horizontal="left"/>
    </xf>
    <xf numFmtId="285" fontId="130" fillId="0" borderId="13" xfId="4" applyNumberFormat="1" applyFont="1" applyBorder="1" applyAlignment="1">
      <alignment horizontal="center"/>
    </xf>
    <xf numFmtId="0" fontId="130" fillId="0" borderId="0" xfId="4" applyFont="1" applyAlignment="1">
      <alignment horizontal="right"/>
    </xf>
    <xf numFmtId="5" fontId="132" fillId="0" borderId="0" xfId="4" applyNumberFormat="1" applyFont="1" applyAlignment="1">
      <alignment horizontal="center"/>
    </xf>
    <xf numFmtId="0" fontId="130" fillId="0" borderId="5" xfId="4" applyFont="1" applyBorder="1" applyAlignment="1">
      <alignment horizontal="center"/>
    </xf>
    <xf numFmtId="0" fontId="130" fillId="0" borderId="0" xfId="4" applyFont="1" applyAlignment="1">
      <alignment horizontal="center"/>
    </xf>
    <xf numFmtId="37" fontId="130" fillId="0" borderId="5" xfId="4" applyNumberFormat="1" applyFont="1" applyBorder="1" applyAlignment="1">
      <alignment horizontal="center"/>
    </xf>
    <xf numFmtId="0" fontId="130" fillId="0" borderId="5" xfId="4" applyFont="1" applyBorder="1" applyAlignment="1">
      <alignment horizontal="right"/>
    </xf>
    <xf numFmtId="39" fontId="132" fillId="0" borderId="0" xfId="4" applyNumberFormat="1" applyFont="1" applyAlignment="1">
      <alignment horizontal="center"/>
    </xf>
    <xf numFmtId="37" fontId="129" fillId="0" borderId="0" xfId="4" applyNumberFormat="1" applyFont="1" applyAlignment="1">
      <alignment horizontal="center"/>
    </xf>
    <xf numFmtId="167" fontId="129" fillId="0" borderId="0" xfId="4" applyNumberFormat="1" applyFont="1" applyAlignment="1">
      <alignment horizontal="center"/>
    </xf>
    <xf numFmtId="37" fontId="132" fillId="0" borderId="0" xfId="4" applyNumberFormat="1" applyFont="1" applyAlignment="1">
      <alignment horizontal="center"/>
    </xf>
    <xf numFmtId="37" fontId="132" fillId="0" borderId="0" xfId="4" applyNumberFormat="1" applyFont="1"/>
    <xf numFmtId="5" fontId="129" fillId="0" borderId="0" xfId="4" applyNumberFormat="1" applyFont="1" applyAlignment="1">
      <alignment horizontal="right"/>
    </xf>
    <xf numFmtId="37" fontId="129" fillId="0" borderId="0" xfId="4" applyNumberFormat="1" applyFont="1" applyAlignment="1">
      <alignment horizontal="right"/>
    </xf>
    <xf numFmtId="0" fontId="129" fillId="0" borderId="12" xfId="4" applyFont="1" applyBorder="1"/>
    <xf numFmtId="5" fontId="132" fillId="0" borderId="0" xfId="4" applyNumberFormat="1" applyFont="1"/>
    <xf numFmtId="7" fontId="130" fillId="0" borderId="5" xfId="4" applyNumberFormat="1" applyFont="1" applyBorder="1" applyAlignment="1">
      <alignment horizontal="right"/>
    </xf>
    <xf numFmtId="39" fontId="129" fillId="0" borderId="0" xfId="4" applyNumberFormat="1" applyFont="1" applyAlignment="1">
      <alignment horizontal="center"/>
    </xf>
    <xf numFmtId="0" fontId="129" fillId="0" borderId="0" xfId="4" applyFont="1" applyAlignment="1">
      <alignment horizontal="left" indent="1"/>
    </xf>
    <xf numFmtId="5" fontId="129" fillId="0" borderId="4" xfId="4" applyNumberFormat="1" applyFont="1" applyBorder="1"/>
    <xf numFmtId="165" fontId="129" fillId="0" borderId="4" xfId="4" applyNumberFormat="1" applyFont="1" applyBorder="1" applyAlignment="1">
      <alignment horizontal="right"/>
    </xf>
    <xf numFmtId="5" fontId="130" fillId="0" borderId="0" xfId="4" applyNumberFormat="1" applyFont="1"/>
    <xf numFmtId="165" fontId="130" fillId="0" borderId="0" xfId="4" applyNumberFormat="1" applyFont="1"/>
    <xf numFmtId="165" fontId="130" fillId="40" borderId="9" xfId="4" applyNumberFormat="1" applyFont="1" applyFill="1" applyBorder="1" applyAlignment="1">
      <alignment horizontal="right"/>
    </xf>
    <xf numFmtId="37" fontId="132" fillId="0" borderId="0" xfId="4" applyNumberFormat="1" applyFont="1" applyAlignment="1">
      <alignment horizontal="right"/>
    </xf>
    <xf numFmtId="37" fontId="129" fillId="0" borderId="0" xfId="6" applyNumberFormat="1" applyFont="1"/>
    <xf numFmtId="284" fontId="129" fillId="0" borderId="0" xfId="5" applyNumberFormat="1" applyFont="1" applyAlignment="1">
      <alignment horizontal="center"/>
    </xf>
    <xf numFmtId="5" fontId="129" fillId="0" borderId="0" xfId="6" applyNumberFormat="1" applyFont="1"/>
    <xf numFmtId="37" fontId="132" fillId="0" borderId="0" xfId="6" applyNumberFormat="1" applyFont="1"/>
    <xf numFmtId="37" fontId="129" fillId="0" borderId="0" xfId="6" applyNumberFormat="1" applyFont="1" applyAlignment="1">
      <alignment horizontal="right"/>
    </xf>
    <xf numFmtId="37" fontId="130" fillId="0" borderId="0" xfId="4" applyNumberFormat="1" applyFont="1" applyAlignment="1">
      <alignment horizontal="center"/>
    </xf>
    <xf numFmtId="5" fontId="130" fillId="0" borderId="0" xfId="4" applyNumberFormat="1" applyFont="1" applyAlignment="1">
      <alignment horizontal="right"/>
    </xf>
    <xf numFmtId="0" fontId="129" fillId="0" borderId="0" xfId="7" applyFont="1" applyAlignment="1">
      <alignment horizontal="right"/>
    </xf>
    <xf numFmtId="0" fontId="129" fillId="0" borderId="0" xfId="7" applyFont="1"/>
    <xf numFmtId="0" fontId="129" fillId="0" borderId="12" xfId="7" applyFont="1" applyBorder="1" applyAlignment="1">
      <alignment horizontal="right"/>
    </xf>
    <xf numFmtId="0" fontId="129" fillId="0" borderId="12" xfId="7" applyFont="1" applyBorder="1"/>
    <xf numFmtId="37" fontId="129" fillId="0" borderId="0" xfId="7" applyNumberFormat="1" applyFont="1"/>
    <xf numFmtId="5" fontId="129" fillId="0" borderId="0" xfId="7" applyNumberFormat="1" applyFont="1"/>
    <xf numFmtId="5" fontId="130" fillId="0" borderId="0" xfId="7" applyNumberFormat="1" applyFont="1" applyAlignment="1">
      <alignment horizontal="right"/>
    </xf>
    <xf numFmtId="0" fontId="129" fillId="0" borderId="0" xfId="8" applyFont="1"/>
    <xf numFmtId="0" fontId="133" fillId="0" borderId="0" xfId="4" quotePrefix="1" applyFont="1" applyAlignment="1">
      <alignment horizontal="center"/>
    </xf>
    <xf numFmtId="0" fontId="134" fillId="0" borderId="0" xfId="4" applyFont="1" applyAlignment="1">
      <alignment horizontal="center" wrapText="1"/>
    </xf>
    <xf numFmtId="164" fontId="129" fillId="0" borderId="0" xfId="2" applyNumberFormat="1" applyFont="1"/>
    <xf numFmtId="0" fontId="129" fillId="0" borderId="0" xfId="4" applyFont="1" applyAlignment="1">
      <alignment horizontal="center" wrapText="1"/>
    </xf>
    <xf numFmtId="164" fontId="129" fillId="0" borderId="0" xfId="2" applyNumberFormat="1" applyFont="1" applyBorder="1"/>
    <xf numFmtId="164" fontId="129" fillId="0" borderId="0" xfId="4" applyNumberFormat="1" applyFont="1"/>
    <xf numFmtId="164" fontId="134" fillId="0" borderId="0" xfId="2" applyNumberFormat="1" applyFont="1" applyBorder="1"/>
    <xf numFmtId="164" fontId="135" fillId="0" borderId="0" xfId="4" applyNumberFormat="1" applyFont="1"/>
    <xf numFmtId="0" fontId="129" fillId="0" borderId="3" xfId="4" applyFont="1" applyBorder="1"/>
    <xf numFmtId="0" fontId="134" fillId="0" borderId="3" xfId="4" applyFont="1" applyBorder="1"/>
    <xf numFmtId="164" fontId="129" fillId="0" borderId="2" xfId="4" applyNumberFormat="1" applyFont="1" applyBorder="1"/>
    <xf numFmtId="0" fontId="129" fillId="0" borderId="2" xfId="4" applyFont="1" applyBorder="1"/>
    <xf numFmtId="0" fontId="136" fillId="0" borderId="3" xfId="4" applyFont="1" applyBorder="1"/>
    <xf numFmtId="0" fontId="129" fillId="0" borderId="0" xfId="4" applyFont="1" applyAlignment="1">
      <alignment horizontal="right"/>
    </xf>
    <xf numFmtId="10" fontId="129" fillId="0" borderId="0" xfId="3" applyNumberFormat="1" applyFont="1" applyBorder="1"/>
    <xf numFmtId="9" fontId="129" fillId="0" borderId="0" xfId="3" applyFont="1" applyBorder="1"/>
    <xf numFmtId="0" fontId="134" fillId="0" borderId="0" xfId="4" applyFont="1"/>
    <xf numFmtId="0" fontId="134" fillId="0" borderId="0" xfId="4" applyFont="1" applyAlignment="1">
      <alignment horizontal="right"/>
    </xf>
    <xf numFmtId="43" fontId="129" fillId="0" borderId="0" xfId="1" applyFont="1"/>
    <xf numFmtId="43" fontId="129" fillId="0" borderId="0" xfId="4" applyNumberFormat="1" applyFont="1"/>
    <xf numFmtId="9" fontId="129" fillId="0" borderId="0" xfId="3" applyFont="1"/>
    <xf numFmtId="164" fontId="135" fillId="0" borderId="0" xfId="2" applyNumberFormat="1" applyFont="1"/>
    <xf numFmtId="43" fontId="135" fillId="0" borderId="0" xfId="4" applyNumberFormat="1" applyFont="1"/>
    <xf numFmtId="10" fontId="129" fillId="0" borderId="0" xfId="4" applyNumberFormat="1" applyFont="1"/>
    <xf numFmtId="37" fontId="74" fillId="45" borderId="68" xfId="1013" applyFont="1" applyFill="1" applyBorder="1"/>
    <xf numFmtId="37" fontId="74" fillId="45" borderId="32" xfId="1013" applyFont="1" applyFill="1" applyBorder="1"/>
    <xf numFmtId="37" fontId="74" fillId="45" borderId="32" xfId="1013" applyFont="1" applyFill="1" applyBorder="1" applyAlignment="1">
      <alignment horizontal="center"/>
    </xf>
    <xf numFmtId="37" fontId="74" fillId="45" borderId="32" xfId="1013" applyFont="1" applyFill="1" applyBorder="1" applyAlignment="1">
      <alignment horizontal="center" wrapText="1"/>
    </xf>
    <xf numFmtId="37" fontId="74" fillId="45" borderId="69" xfId="1013" applyFont="1" applyFill="1" applyBorder="1"/>
    <xf numFmtId="37" fontId="74" fillId="42" borderId="0" xfId="1013" applyFont="1" applyFill="1"/>
    <xf numFmtId="37" fontId="26" fillId="42" borderId="0" xfId="1013" applyFill="1"/>
    <xf numFmtId="37" fontId="26" fillId="0" borderId="0" xfId="1013"/>
    <xf numFmtId="167" fontId="26" fillId="0" borderId="0" xfId="1013" applyNumberFormat="1" applyAlignment="1">
      <alignment horizontal="center"/>
    </xf>
    <xf numFmtId="42" fontId="26" fillId="0" borderId="0" xfId="1013" applyNumberFormat="1"/>
    <xf numFmtId="37" fontId="26" fillId="0" borderId="0" xfId="1013" applyAlignment="1">
      <alignment horizontal="center"/>
    </xf>
    <xf numFmtId="39" fontId="26" fillId="0" borderId="0" xfId="1013" applyNumberFormat="1" applyAlignment="1">
      <alignment horizontal="center"/>
    </xf>
    <xf numFmtId="164" fontId="129" fillId="0" borderId="59" xfId="2" applyNumberFormat="1" applyFont="1" applyBorder="1"/>
    <xf numFmtId="296" fontId="129" fillId="0" borderId="0" xfId="4" applyNumberFormat="1" applyFont="1" applyAlignment="1">
      <alignment horizontal="left"/>
    </xf>
    <xf numFmtId="296" fontId="129" fillId="0" borderId="0" xfId="4" applyNumberFormat="1" applyFont="1" applyAlignment="1">
      <alignment horizontal="left" indent="1"/>
    </xf>
    <xf numFmtId="298" fontId="129" fillId="0" borderId="0" xfId="4" applyNumberFormat="1" applyFont="1" applyAlignment="1">
      <alignment horizontal="left"/>
    </xf>
    <xf numFmtId="168" fontId="129" fillId="0" borderId="0" xfId="1" applyNumberFormat="1" applyFont="1"/>
    <xf numFmtId="0" fontId="129" fillId="0" borderId="71" xfId="4" applyFont="1" applyBorder="1"/>
    <xf numFmtId="298" fontId="129" fillId="0" borderId="3" xfId="4" applyNumberFormat="1" applyFont="1" applyBorder="1" applyAlignment="1">
      <alignment horizontal="left"/>
    </xf>
    <xf numFmtId="296" fontId="129" fillId="0" borderId="3" xfId="4" applyNumberFormat="1" applyFont="1" applyBorder="1" applyAlignment="1">
      <alignment horizontal="left"/>
    </xf>
    <xf numFmtId="297" fontId="129" fillId="0" borderId="3" xfId="4" applyNumberFormat="1" applyFont="1" applyBorder="1" applyAlignment="1">
      <alignment horizontal="left"/>
    </xf>
    <xf numFmtId="296" fontId="129" fillId="0" borderId="3" xfId="4" applyNumberFormat="1" applyFont="1" applyBorder="1" applyAlignment="1">
      <alignment horizontal="left" indent="1"/>
    </xf>
    <xf numFmtId="6" fontId="129" fillId="0" borderId="0" xfId="4" applyNumberFormat="1" applyFont="1"/>
    <xf numFmtId="43" fontId="129" fillId="0" borderId="0" xfId="1" applyFont="1" applyBorder="1"/>
    <xf numFmtId="299" fontId="129" fillId="0" borderId="0" xfId="4" applyNumberFormat="1" applyFont="1" applyAlignment="1">
      <alignment horizontal="left" indent="1"/>
    </xf>
    <xf numFmtId="164" fontId="129" fillId="0" borderId="0" xfId="2" applyNumberFormat="1" applyFont="1" applyFill="1" applyBorder="1"/>
    <xf numFmtId="39" fontId="129" fillId="42" borderId="0" xfId="2" applyNumberFormat="1" applyFont="1" applyFill="1" applyBorder="1"/>
    <xf numFmtId="0" fontId="130" fillId="0" borderId="73" xfId="4" applyFont="1" applyBorder="1" applyAlignment="1">
      <alignment horizontal="center"/>
    </xf>
    <xf numFmtId="0" fontId="129" fillId="42" borderId="6" xfId="4" applyFont="1" applyFill="1" applyBorder="1"/>
    <xf numFmtId="0" fontId="129" fillId="42" borderId="0" xfId="4" applyFont="1" applyFill="1"/>
    <xf numFmtId="165" fontId="130" fillId="42" borderId="0" xfId="4" applyNumberFormat="1" applyFont="1" applyFill="1" applyAlignment="1">
      <alignment horizontal="right"/>
    </xf>
    <xf numFmtId="5" fontId="130" fillId="42" borderId="0" xfId="4" applyNumberFormat="1" applyFont="1" applyFill="1"/>
    <xf numFmtId="166" fontId="130" fillId="42" borderId="0" xfId="4" applyNumberFormat="1" applyFont="1" applyFill="1" applyAlignment="1">
      <alignment horizontal="right"/>
    </xf>
    <xf numFmtId="5" fontId="130" fillId="42" borderId="0" xfId="4" applyNumberFormat="1" applyFont="1" applyFill="1" applyAlignment="1">
      <alignment horizontal="right"/>
    </xf>
    <xf numFmtId="166" fontId="129" fillId="42" borderId="0" xfId="4" applyNumberFormat="1" applyFont="1" applyFill="1"/>
    <xf numFmtId="5" fontId="129" fillId="42" borderId="0" xfId="4" applyNumberFormat="1" applyFont="1" applyFill="1"/>
    <xf numFmtId="0" fontId="130" fillId="42" borderId="0" xfId="4" applyFont="1" applyFill="1" applyAlignment="1">
      <alignment horizontal="right"/>
    </xf>
    <xf numFmtId="5" fontId="129" fillId="42" borderId="0" xfId="6" applyNumberFormat="1" applyFont="1" applyFill="1"/>
    <xf numFmtId="37" fontId="132" fillId="40" borderId="10" xfId="4" applyNumberFormat="1" applyFont="1" applyFill="1" applyBorder="1" applyAlignment="1">
      <alignment horizontal="center"/>
    </xf>
    <xf numFmtId="165" fontId="129" fillId="0" borderId="0" xfId="3" applyNumberFormat="1" applyFont="1"/>
    <xf numFmtId="10" fontId="129" fillId="0" borderId="0" xfId="3" applyNumberFormat="1" applyFont="1"/>
    <xf numFmtId="44" fontId="129" fillId="0" borderId="0" xfId="4" applyNumberFormat="1" applyFont="1"/>
    <xf numFmtId="164" fontId="139" fillId="0" borderId="0" xfId="2" applyNumberFormat="1" applyFont="1"/>
    <xf numFmtId="164" fontId="130" fillId="0" borderId="0" xfId="2" applyNumberFormat="1" applyFont="1"/>
    <xf numFmtId="167" fontId="129" fillId="0" borderId="74" xfId="4" applyNumberFormat="1" applyFont="1" applyBorder="1" applyAlignment="1">
      <alignment horizontal="center"/>
    </xf>
    <xf numFmtId="5" fontId="130" fillId="40" borderId="9" xfId="4" applyNumberFormat="1" applyFont="1" applyFill="1" applyBorder="1"/>
    <xf numFmtId="0" fontId="129" fillId="42" borderId="0" xfId="5" applyFont="1" applyFill="1" applyAlignment="1">
      <alignment horizontal="left" indent="1"/>
    </xf>
    <xf numFmtId="165" fontId="129" fillId="42" borderId="0" xfId="4" applyNumberFormat="1" applyFont="1" applyFill="1"/>
    <xf numFmtId="296" fontId="129" fillId="42" borderId="0" xfId="4" applyNumberFormat="1" applyFont="1" applyFill="1" applyAlignment="1">
      <alignment horizontal="left" indent="1"/>
    </xf>
    <xf numFmtId="37" fontId="129" fillId="42" borderId="0" xfId="4" applyNumberFormat="1" applyFont="1" applyFill="1"/>
    <xf numFmtId="297" fontId="129" fillId="42" borderId="0" xfId="4" applyNumberFormat="1" applyFont="1" applyFill="1" applyAlignment="1">
      <alignment horizontal="left" indent="1"/>
    </xf>
    <xf numFmtId="37" fontId="129" fillId="42" borderId="74" xfId="4" applyNumberFormat="1" applyFont="1" applyFill="1" applyBorder="1"/>
    <xf numFmtId="165" fontId="129" fillId="42" borderId="74" xfId="4" applyNumberFormat="1" applyFont="1" applyFill="1" applyBorder="1"/>
    <xf numFmtId="165" fontId="130" fillId="0" borderId="0" xfId="4" applyNumberFormat="1" applyFont="1" applyAlignment="1">
      <alignment horizontal="center"/>
    </xf>
    <xf numFmtId="164" fontId="129" fillId="0" borderId="74" xfId="2" applyNumberFormat="1" applyFont="1" applyBorder="1"/>
    <xf numFmtId="164" fontId="129" fillId="0" borderId="74" xfId="4" applyNumberFormat="1" applyFont="1" applyBorder="1"/>
    <xf numFmtId="0" fontId="129" fillId="42" borderId="11" xfId="4" applyFont="1" applyFill="1" applyBorder="1"/>
    <xf numFmtId="0" fontId="129" fillId="42" borderId="12" xfId="4" applyFont="1" applyFill="1" applyBorder="1"/>
    <xf numFmtId="37" fontId="129" fillId="0" borderId="74" xfId="4" applyNumberFormat="1" applyFont="1" applyBorder="1" applyAlignment="1">
      <alignment horizontal="center"/>
    </xf>
    <xf numFmtId="37" fontId="129" fillId="0" borderId="74" xfId="4" applyNumberFormat="1" applyFont="1" applyBorder="1"/>
    <xf numFmtId="37" fontId="132" fillId="0" borderId="74" xfId="4" applyNumberFormat="1" applyFont="1" applyBorder="1"/>
    <xf numFmtId="37" fontId="132" fillId="0" borderId="74" xfId="4" applyNumberFormat="1" applyFont="1" applyBorder="1" applyAlignment="1">
      <alignment horizontal="center"/>
    </xf>
    <xf numFmtId="37" fontId="129" fillId="0" borderId="74" xfId="4" applyNumberFormat="1" applyFont="1" applyBorder="1" applyAlignment="1">
      <alignment horizontal="right"/>
    </xf>
    <xf numFmtId="37" fontId="135" fillId="0" borderId="0" xfId="2" applyNumberFormat="1" applyFont="1" applyBorder="1"/>
    <xf numFmtId="37" fontId="129" fillId="0" borderId="0" xfId="2" applyNumberFormat="1" applyFont="1" applyBorder="1"/>
    <xf numFmtId="0" fontId="129" fillId="0" borderId="74" xfId="4" applyFont="1" applyBorder="1"/>
    <xf numFmtId="0" fontId="130" fillId="0" borderId="70" xfId="4" applyFont="1" applyBorder="1"/>
    <xf numFmtId="37" fontId="134" fillId="42" borderId="0" xfId="4" applyNumberFormat="1" applyFont="1" applyFill="1"/>
    <xf numFmtId="37" fontId="134" fillId="0" borderId="0" xfId="4" applyNumberFormat="1" applyFont="1"/>
    <xf numFmtId="164" fontId="129" fillId="42" borderId="0" xfId="2" applyNumberFormat="1" applyFont="1" applyFill="1"/>
    <xf numFmtId="164" fontId="129" fillId="42" borderId="0" xfId="2" applyNumberFormat="1" applyFont="1" applyFill="1" applyBorder="1"/>
    <xf numFmtId="164" fontId="129" fillId="42" borderId="0" xfId="4" applyNumberFormat="1" applyFont="1" applyFill="1"/>
    <xf numFmtId="0" fontId="141" fillId="0" borderId="0" xfId="1015" applyFont="1" applyAlignment="1">
      <alignment vertical="center"/>
    </xf>
    <xf numFmtId="0" fontId="142" fillId="0" borderId="0" xfId="1015" quotePrefix="1" applyFont="1" applyAlignment="1">
      <alignment horizontal="left"/>
    </xf>
    <xf numFmtId="0" fontId="143" fillId="0" borderId="0" xfId="1015" applyFont="1" applyAlignment="1">
      <alignment horizontal="left" vertical="center"/>
    </xf>
    <xf numFmtId="0" fontId="144" fillId="0" borderId="0" xfId="1015" applyFont="1" applyAlignment="1">
      <alignment horizontal="left" vertical="center"/>
    </xf>
    <xf numFmtId="0" fontId="145" fillId="0" borderId="0" xfId="1015" applyFont="1" applyAlignment="1">
      <alignment horizontal="centerContinuous" vertical="center"/>
    </xf>
    <xf numFmtId="0" fontId="141" fillId="0" borderId="0" xfId="1015" applyFont="1" applyAlignment="1">
      <alignment horizontal="centerContinuous" vertical="center"/>
    </xf>
    <xf numFmtId="0" fontId="146" fillId="0" borderId="0" xfId="1015" applyFont="1" applyAlignment="1">
      <alignment vertical="center"/>
    </xf>
    <xf numFmtId="300" fontId="145" fillId="0" borderId="74" xfId="1015" applyNumberFormat="1" applyFont="1" applyBorder="1" applyAlignment="1">
      <alignment vertical="center"/>
    </xf>
    <xf numFmtId="0" fontId="147" fillId="0" borderId="0" xfId="1015" applyFont="1" applyAlignment="1">
      <alignment vertical="center"/>
    </xf>
    <xf numFmtId="0" fontId="141" fillId="0" borderId="74" xfId="1015" applyFont="1" applyBorder="1" applyAlignment="1">
      <alignment vertical="center"/>
    </xf>
    <xf numFmtId="0" fontId="148" fillId="42" borderId="0" xfId="1015" quotePrefix="1" applyFont="1" applyFill="1" applyAlignment="1">
      <alignment horizontal="left" vertical="center"/>
    </xf>
    <xf numFmtId="0" fontId="149" fillId="0" borderId="0" xfId="1015" quotePrefix="1" applyFont="1" applyAlignment="1">
      <alignment horizontal="left" vertical="center"/>
    </xf>
    <xf numFmtId="14" fontId="145" fillId="42" borderId="0" xfId="1015" applyNumberFormat="1" applyFont="1" applyFill="1" applyAlignment="1">
      <alignment vertical="center"/>
    </xf>
    <xf numFmtId="0" fontId="147" fillId="42" borderId="0" xfId="1015" applyFont="1" applyFill="1" applyAlignment="1">
      <alignment vertical="center"/>
    </xf>
    <xf numFmtId="0" fontId="148" fillId="0" borderId="0" xfId="1015" quotePrefix="1" applyFont="1" applyAlignment="1">
      <alignment horizontal="left" vertical="center"/>
    </xf>
    <xf numFmtId="0" fontId="141" fillId="42" borderId="0" xfId="1015" applyFont="1" applyFill="1" applyAlignment="1">
      <alignment vertical="center"/>
    </xf>
    <xf numFmtId="0" fontId="141" fillId="42" borderId="0" xfId="1015" applyFont="1" applyFill="1"/>
    <xf numFmtId="0" fontId="147" fillId="0" borderId="0" xfId="1015" quotePrefix="1" applyFont="1" applyAlignment="1">
      <alignment horizontal="left" vertical="center"/>
    </xf>
    <xf numFmtId="0" fontId="141" fillId="0" borderId="0" xfId="1015" quotePrefix="1" applyFont="1" applyAlignment="1">
      <alignment horizontal="left" vertical="center"/>
    </xf>
    <xf numFmtId="0" fontId="141" fillId="43" borderId="0" xfId="1015" applyFont="1" applyFill="1" applyAlignment="1">
      <alignment vertical="center"/>
    </xf>
    <xf numFmtId="0" fontId="150" fillId="44" borderId="0" xfId="1015" applyFont="1" applyFill="1" applyAlignment="1">
      <alignment vertical="center"/>
    </xf>
    <xf numFmtId="0" fontId="147" fillId="44" borderId="0" xfId="1015" applyFont="1" applyFill="1" applyAlignment="1">
      <alignment vertical="center"/>
    </xf>
    <xf numFmtId="0" fontId="147" fillId="42" borderId="0" xfId="1015" quotePrefix="1" applyFont="1" applyFill="1" applyAlignment="1">
      <alignment horizontal="left" vertical="center"/>
    </xf>
    <xf numFmtId="0" fontId="141" fillId="46" borderId="0" xfId="1015" applyFont="1" applyFill="1" applyAlignment="1">
      <alignment vertical="center"/>
    </xf>
    <xf numFmtId="0" fontId="141" fillId="44" borderId="0" xfId="1015" applyFont="1" applyFill="1" applyAlignment="1">
      <alignment vertical="center"/>
    </xf>
    <xf numFmtId="0" fontId="151" fillId="44" borderId="0" xfId="1015" applyFont="1" applyFill="1" applyAlignment="1">
      <alignment vertical="center"/>
    </xf>
    <xf numFmtId="0" fontId="147" fillId="0" borderId="74" xfId="1015" quotePrefix="1" applyFont="1" applyBorder="1" applyAlignment="1">
      <alignment horizontal="left" vertical="center"/>
    </xf>
    <xf numFmtId="0" fontId="141" fillId="42" borderId="74" xfId="1015" applyFont="1" applyFill="1" applyBorder="1" applyAlignment="1">
      <alignment vertical="center"/>
    </xf>
    <xf numFmtId="0" fontId="141" fillId="44" borderId="74" xfId="1015" applyFont="1" applyFill="1" applyBorder="1" applyAlignment="1">
      <alignment vertical="center"/>
    </xf>
    <xf numFmtId="300" fontId="145" fillId="0" borderId="74" xfId="1015" applyNumberFormat="1" applyFont="1" applyBorder="1" applyAlignment="1">
      <alignment horizontal="center" vertical="center"/>
    </xf>
    <xf numFmtId="0" fontId="152" fillId="0" borderId="0" xfId="1015" quotePrefix="1" applyFont="1" applyAlignment="1">
      <alignment horizontal="left" vertical="center"/>
    </xf>
    <xf numFmtId="0" fontId="153" fillId="0" borderId="0" xfId="1015" applyFont="1" applyAlignment="1">
      <alignment vertical="center"/>
    </xf>
    <xf numFmtId="239" fontId="153" fillId="0" borderId="0" xfId="1015" applyNumberFormat="1" applyFont="1" applyAlignment="1">
      <alignment horizontal="center" vertical="center"/>
    </xf>
    <xf numFmtId="239" fontId="141" fillId="0" borderId="0" xfId="1015" applyNumberFormat="1" applyFont="1" applyAlignment="1">
      <alignment horizontal="center" vertical="center"/>
    </xf>
    <xf numFmtId="0" fontId="152" fillId="0" borderId="74" xfId="1015" quotePrefix="1" applyFont="1" applyBorder="1" applyAlignment="1">
      <alignment horizontal="left" vertical="center"/>
    </xf>
    <xf numFmtId="0" fontId="153" fillId="0" borderId="74" xfId="1015" applyFont="1" applyBorder="1" applyAlignment="1">
      <alignment vertical="center"/>
    </xf>
    <xf numFmtId="239" fontId="153" fillId="0" borderId="74" xfId="1015" applyNumberFormat="1" applyFont="1" applyBorder="1" applyAlignment="1">
      <alignment horizontal="center" vertical="center"/>
    </xf>
    <xf numFmtId="239" fontId="141" fillId="0" borderId="0" xfId="1015" applyNumberFormat="1" applyFont="1" applyAlignment="1">
      <alignment vertical="center"/>
    </xf>
    <xf numFmtId="239" fontId="141" fillId="0" borderId="74" xfId="1015" applyNumberFormat="1" applyFont="1" applyBorder="1" applyAlignment="1">
      <alignment horizontal="center" vertical="center"/>
    </xf>
    <xf numFmtId="239" fontId="141" fillId="0" borderId="74" xfId="1015" applyNumberFormat="1" applyFont="1" applyBorder="1" applyAlignment="1">
      <alignment vertical="center"/>
    </xf>
    <xf numFmtId="300" fontId="141" fillId="0" borderId="0" xfId="1015" applyNumberFormat="1" applyFont="1" applyAlignment="1">
      <alignment horizontal="center" vertical="center"/>
    </xf>
    <xf numFmtId="300" fontId="141" fillId="0" borderId="0" xfId="1015" applyNumberFormat="1" applyFont="1" applyAlignment="1">
      <alignment vertical="center"/>
    </xf>
    <xf numFmtId="300" fontId="145" fillId="0" borderId="0" xfId="1015" applyNumberFormat="1" applyFont="1" applyAlignment="1">
      <alignment horizontal="center" vertical="center"/>
    </xf>
    <xf numFmtId="300" fontId="145" fillId="0" borderId="0" xfId="1015" applyNumberFormat="1" applyFont="1" applyAlignment="1">
      <alignment vertical="center"/>
    </xf>
    <xf numFmtId="0" fontId="146" fillId="0" borderId="0" xfId="1015" quotePrefix="1" applyFont="1" applyAlignment="1">
      <alignment horizontal="left" vertical="center"/>
    </xf>
    <xf numFmtId="0" fontId="154" fillId="0" borderId="0" xfId="1016" applyAlignment="1">
      <alignment vertical="center"/>
    </xf>
    <xf numFmtId="5" fontId="130" fillId="42" borderId="60" xfId="4" applyNumberFormat="1" applyFont="1" applyFill="1" applyBorder="1"/>
    <xf numFmtId="5" fontId="129" fillId="42" borderId="6" xfId="4" applyNumberFormat="1" applyFont="1" applyFill="1" applyBorder="1"/>
    <xf numFmtId="5" fontId="130" fillId="42" borderId="61" xfId="4" applyNumberFormat="1" applyFont="1" applyFill="1" applyBorder="1"/>
    <xf numFmtId="0" fontId="130" fillId="42" borderId="62" xfId="4" applyFont="1" applyFill="1" applyBorder="1"/>
    <xf numFmtId="5" fontId="130" fillId="42" borderId="63" xfId="4" applyNumberFormat="1" applyFont="1" applyFill="1" applyBorder="1"/>
    <xf numFmtId="0" fontId="129" fillId="42" borderId="62" xfId="4" applyFont="1" applyFill="1" applyBorder="1"/>
    <xf numFmtId="0" fontId="129" fillId="42" borderId="63" xfId="4" applyFont="1" applyFill="1" applyBorder="1"/>
    <xf numFmtId="0" fontId="133" fillId="42" borderId="62" xfId="4" applyFont="1" applyFill="1" applyBorder="1"/>
    <xf numFmtId="37" fontId="132" fillId="42" borderId="75" xfId="4" applyNumberFormat="1" applyFont="1" applyFill="1" applyBorder="1" applyAlignment="1">
      <alignment horizontal="center"/>
    </xf>
    <xf numFmtId="165" fontId="129" fillId="42" borderId="75" xfId="4" applyNumberFormat="1" applyFont="1" applyFill="1" applyBorder="1" applyAlignment="1">
      <alignment horizontal="center"/>
    </xf>
    <xf numFmtId="0" fontId="129" fillId="42" borderId="76" xfId="4" applyFont="1" applyFill="1" applyBorder="1"/>
    <xf numFmtId="0" fontId="129" fillId="42" borderId="77" xfId="4" applyFont="1" applyFill="1" applyBorder="1"/>
    <xf numFmtId="285" fontId="129" fillId="42" borderId="62" xfId="4" applyNumberFormat="1" applyFont="1" applyFill="1" applyBorder="1" applyAlignment="1">
      <alignment horizontal="left"/>
    </xf>
    <xf numFmtId="165" fontId="132" fillId="42" borderId="75" xfId="4" applyNumberFormat="1" applyFont="1" applyFill="1" applyBorder="1" applyAlignment="1">
      <alignment horizontal="center"/>
    </xf>
    <xf numFmtId="0" fontId="129" fillId="42" borderId="64" xfId="4" applyFont="1" applyFill="1" applyBorder="1"/>
    <xf numFmtId="0" fontId="129" fillId="42" borderId="65" xfId="4" applyFont="1" applyFill="1" applyBorder="1"/>
    <xf numFmtId="37" fontId="130" fillId="0" borderId="0" xfId="4" applyNumberFormat="1" applyFont="1" applyAlignment="1">
      <alignment horizontal="left"/>
    </xf>
    <xf numFmtId="14" fontId="129" fillId="0" borderId="0" xfId="4" applyNumberFormat="1" applyFont="1"/>
    <xf numFmtId="0" fontId="130" fillId="40" borderId="8" xfId="4" applyFont="1" applyFill="1" applyBorder="1" applyAlignment="1">
      <alignment horizontal="center"/>
    </xf>
    <xf numFmtId="0" fontId="130" fillId="40" borderId="8" xfId="4" applyFont="1" applyFill="1" applyBorder="1" applyAlignment="1">
      <alignment horizontal="right"/>
    </xf>
    <xf numFmtId="0" fontId="130" fillId="40" borderId="9" xfId="4" applyFont="1" applyFill="1" applyBorder="1" applyAlignment="1">
      <alignment horizontal="right"/>
    </xf>
    <xf numFmtId="0" fontId="130" fillId="47" borderId="0" xfId="4" applyFont="1" applyFill="1" applyAlignment="1">
      <alignment horizontal="right"/>
    </xf>
    <xf numFmtId="0" fontId="130" fillId="48" borderId="0" xfId="4" applyFont="1" applyFill="1" applyAlignment="1">
      <alignment horizontal="right"/>
    </xf>
    <xf numFmtId="0" fontId="130" fillId="49" borderId="0" xfId="4" applyFont="1" applyFill="1" applyAlignment="1">
      <alignment horizontal="right"/>
    </xf>
    <xf numFmtId="37" fontId="74" fillId="40" borderId="68" xfId="1013" applyFont="1" applyFill="1" applyBorder="1"/>
    <xf numFmtId="37" fontId="74" fillId="40" borderId="32" xfId="1013" applyFont="1" applyFill="1" applyBorder="1"/>
    <xf numFmtId="167" fontId="74" fillId="40" borderId="32" xfId="1013" applyNumberFormat="1" applyFont="1" applyFill="1" applyBorder="1" applyAlignment="1">
      <alignment horizontal="center"/>
    </xf>
    <xf numFmtId="42" fontId="74" fillId="40" borderId="32" xfId="1013" applyNumberFormat="1" applyFont="1" applyFill="1" applyBorder="1"/>
    <xf numFmtId="37" fontId="74" fillId="40" borderId="32" xfId="1013" applyFont="1" applyFill="1" applyBorder="1" applyAlignment="1">
      <alignment horizontal="center"/>
    </xf>
    <xf numFmtId="44" fontId="74" fillId="40" borderId="32" xfId="2" applyFont="1" applyFill="1" applyBorder="1" applyAlignment="1">
      <alignment horizontal="center"/>
    </xf>
    <xf numFmtId="49" fontId="74" fillId="40" borderId="32" xfId="1013" applyNumberFormat="1" applyFont="1" applyFill="1" applyBorder="1"/>
    <xf numFmtId="37" fontId="26" fillId="40" borderId="32" xfId="1013" applyFill="1" applyBorder="1"/>
    <xf numFmtId="37" fontId="26" fillId="40" borderId="69" xfId="1013" applyFill="1" applyBorder="1"/>
    <xf numFmtId="37" fontId="74" fillId="40" borderId="64" xfId="1013" applyFont="1" applyFill="1" applyBorder="1"/>
    <xf numFmtId="37" fontId="74" fillId="40" borderId="12" xfId="1013" applyFont="1" applyFill="1" applyBorder="1"/>
    <xf numFmtId="167" fontId="74" fillId="40" borderId="12" xfId="1013" applyNumberFormat="1" applyFont="1" applyFill="1" applyBorder="1" applyAlignment="1">
      <alignment horizontal="center"/>
    </xf>
    <xf numFmtId="42" fontId="74" fillId="40" borderId="12" xfId="1013" applyNumberFormat="1" applyFont="1" applyFill="1" applyBorder="1"/>
    <xf numFmtId="37" fontId="74" fillId="40" borderId="12" xfId="1013" applyFont="1" applyFill="1" applyBorder="1" applyAlignment="1">
      <alignment horizontal="center"/>
    </xf>
    <xf numFmtId="44" fontId="74" fillId="40" borderId="12" xfId="2" applyFont="1" applyFill="1" applyBorder="1" applyAlignment="1">
      <alignment horizontal="center"/>
    </xf>
    <xf numFmtId="49" fontId="74" fillId="40" borderId="12" xfId="1013" applyNumberFormat="1" applyFont="1" applyFill="1" applyBorder="1"/>
    <xf numFmtId="37" fontId="26" fillId="40" borderId="12" xfId="1013" applyFill="1" applyBorder="1"/>
    <xf numFmtId="37" fontId="26" fillId="40" borderId="65" xfId="1013" applyFill="1" applyBorder="1"/>
    <xf numFmtId="37" fontId="1" fillId="42" borderId="0" xfId="1013" applyFont="1" applyFill="1"/>
    <xf numFmtId="37" fontId="26" fillId="42" borderId="62" xfId="1013" applyFill="1" applyBorder="1"/>
    <xf numFmtId="167" fontId="26" fillId="42" borderId="0" xfId="1013" applyNumberFormat="1" applyFill="1" applyAlignment="1">
      <alignment horizontal="center"/>
    </xf>
    <xf numFmtId="42" fontId="26" fillId="42" borderId="0" xfId="1013" applyNumberFormat="1" applyFill="1"/>
    <xf numFmtId="37" fontId="26" fillId="42" borderId="0" xfId="1013" applyFill="1" applyAlignment="1">
      <alignment horizontal="center"/>
    </xf>
    <xf numFmtId="49" fontId="26" fillId="42" borderId="0" xfId="1013" applyNumberFormat="1" applyFill="1" applyAlignment="1">
      <alignment horizontal="center"/>
    </xf>
    <xf numFmtId="37" fontId="156" fillId="0" borderId="0" xfId="1017"/>
    <xf numFmtId="37" fontId="156" fillId="0" borderId="0" xfId="1017" applyAlignment="1">
      <alignment horizontal="center"/>
    </xf>
    <xf numFmtId="37" fontId="74" fillId="45" borderId="68" xfId="1017" applyFont="1" applyFill="1" applyBorder="1"/>
    <xf numFmtId="37" fontId="74" fillId="45" borderId="32" xfId="1017" applyFont="1" applyFill="1" applyBorder="1"/>
    <xf numFmtId="37" fontId="74" fillId="45" borderId="32" xfId="1017" applyFont="1" applyFill="1" applyBorder="1" applyAlignment="1">
      <alignment horizontal="center"/>
    </xf>
    <xf numFmtId="37" fontId="74" fillId="45" borderId="69" xfId="1017" applyFont="1" applyFill="1" applyBorder="1"/>
    <xf numFmtId="42" fontId="156" fillId="0" borderId="0" xfId="1017" applyNumberFormat="1"/>
    <xf numFmtId="39" fontId="26" fillId="0" borderId="0" xfId="1017" applyNumberFormat="1" applyFont="1" applyAlignment="1">
      <alignment horizontal="center"/>
    </xf>
    <xf numFmtId="37" fontId="26" fillId="0" borderId="0" xfId="1017" applyFont="1" applyAlignment="1">
      <alignment horizontal="center"/>
    </xf>
    <xf numFmtId="167" fontId="156" fillId="0" borderId="0" xfId="1017" applyNumberFormat="1" applyAlignment="1">
      <alignment horizontal="center"/>
    </xf>
    <xf numFmtId="37" fontId="138" fillId="42" borderId="63" xfId="1014" applyNumberFormat="1" applyFill="1" applyBorder="1" applyAlignment="1" applyProtection="1"/>
    <xf numFmtId="44" fontId="26" fillId="42" borderId="0" xfId="2" applyFont="1" applyFill="1" applyBorder="1" applyAlignment="1">
      <alignment horizontal="center"/>
    </xf>
    <xf numFmtId="37" fontId="74" fillId="42" borderId="68" xfId="1013" applyFont="1" applyFill="1" applyBorder="1"/>
    <xf numFmtId="37" fontId="74" fillId="42" borderId="32" xfId="1013" applyFont="1" applyFill="1" applyBorder="1"/>
    <xf numFmtId="167" fontId="74" fillId="42" borderId="32" xfId="1013" applyNumberFormat="1" applyFont="1" applyFill="1" applyBorder="1" applyAlignment="1">
      <alignment horizontal="center"/>
    </xf>
    <xf numFmtId="42" fontId="74" fillId="42" borderId="32" xfId="1013" applyNumberFormat="1" applyFont="1" applyFill="1" applyBorder="1"/>
    <xf numFmtId="37" fontId="74" fillId="42" borderId="32" xfId="1013" applyFont="1" applyFill="1" applyBorder="1" applyAlignment="1">
      <alignment horizontal="center"/>
    </xf>
    <xf numFmtId="44" fontId="74" fillId="42" borderId="32" xfId="2" applyFont="1" applyFill="1" applyBorder="1" applyAlignment="1">
      <alignment horizontal="center"/>
    </xf>
    <xf numFmtId="49" fontId="74" fillId="42" borderId="32" xfId="1013" applyNumberFormat="1" applyFont="1" applyFill="1" applyBorder="1"/>
    <xf numFmtId="37" fontId="26" fillId="42" borderId="32" xfId="1013" applyFill="1" applyBorder="1"/>
    <xf numFmtId="37" fontId="26" fillId="42" borderId="69" xfId="1013" applyFill="1" applyBorder="1"/>
    <xf numFmtId="37" fontId="26" fillId="42" borderId="62" xfId="1017" applyFont="1" applyFill="1" applyBorder="1"/>
    <xf numFmtId="37" fontId="26" fillId="42" borderId="0" xfId="1017" applyFont="1" applyFill="1"/>
    <xf numFmtId="167" fontId="26" fillId="42" borderId="0" xfId="1017" applyNumberFormat="1" applyFont="1" applyFill="1" applyAlignment="1">
      <alignment horizontal="center"/>
    </xf>
    <xf numFmtId="42" fontId="156" fillId="42" borderId="0" xfId="1017" applyNumberFormat="1" applyFill="1"/>
    <xf numFmtId="39" fontId="26" fillId="42" borderId="0" xfId="1017" applyNumberFormat="1" applyFont="1" applyFill="1" applyAlignment="1">
      <alignment horizontal="center"/>
    </xf>
    <xf numFmtId="37" fontId="26" fillId="42" borderId="0" xfId="1017" applyFont="1" applyFill="1" applyAlignment="1">
      <alignment horizontal="center"/>
    </xf>
    <xf numFmtId="42" fontId="26" fillId="42" borderId="0" xfId="1017" applyNumberFormat="1" applyFont="1" applyFill="1" applyAlignment="1">
      <alignment horizontal="center"/>
    </xf>
    <xf numFmtId="251" fontId="156" fillId="42" borderId="0" xfId="1017" applyNumberFormat="1" applyFill="1" applyAlignment="1">
      <alignment horizontal="center"/>
    </xf>
    <xf numFmtId="37" fontId="26" fillId="42" borderId="63" xfId="1017" applyFont="1" applyFill="1" applyBorder="1"/>
    <xf numFmtId="167" fontId="156" fillId="42" borderId="0" xfId="1017" applyNumberFormat="1" applyFill="1" applyAlignment="1">
      <alignment horizontal="center"/>
    </xf>
    <xf numFmtId="37" fontId="26" fillId="42" borderId="64" xfId="1017" applyFont="1" applyFill="1" applyBorder="1"/>
    <xf numFmtId="37" fontId="26" fillId="42" borderId="12" xfId="1017" applyFont="1" applyFill="1" applyBorder="1"/>
    <xf numFmtId="167" fontId="156" fillId="42" borderId="12" xfId="1017" applyNumberFormat="1" applyFill="1" applyBorder="1" applyAlignment="1">
      <alignment horizontal="center"/>
    </xf>
    <xf numFmtId="42" fontId="156" fillId="42" borderId="12" xfId="1017" applyNumberFormat="1" applyFill="1" applyBorder="1"/>
    <xf numFmtId="39" fontId="26" fillId="42" borderId="12" xfId="1017" applyNumberFormat="1" applyFont="1" applyFill="1" applyBorder="1" applyAlignment="1">
      <alignment horizontal="center"/>
    </xf>
    <xf numFmtId="37" fontId="26" fillId="42" borderId="12" xfId="1017" applyFont="1" applyFill="1" applyBorder="1" applyAlignment="1">
      <alignment horizontal="center"/>
    </xf>
    <xf numFmtId="42" fontId="26" fillId="42" borderId="12" xfId="1017" applyNumberFormat="1" applyFont="1" applyFill="1" applyBorder="1" applyAlignment="1">
      <alignment horizontal="center"/>
    </xf>
    <xf numFmtId="251" fontId="156" fillId="42" borderId="12" xfId="1017" applyNumberFormat="1" applyFill="1" applyBorder="1" applyAlignment="1">
      <alignment horizontal="center"/>
    </xf>
    <xf numFmtId="37" fontId="26" fillId="42" borderId="65" xfId="1017" applyFont="1" applyFill="1" applyBorder="1"/>
    <xf numFmtId="37" fontId="74" fillId="42" borderId="64" xfId="1017" applyFont="1" applyFill="1" applyBorder="1"/>
    <xf numFmtId="37" fontId="156" fillId="42" borderId="12" xfId="1017" applyFill="1" applyBorder="1"/>
    <xf numFmtId="42" fontId="74" fillId="42" borderId="12" xfId="1017" applyNumberFormat="1" applyFont="1" applyFill="1" applyBorder="1"/>
    <xf numFmtId="39" fontId="74" fillId="42" borderId="12" xfId="1017" applyNumberFormat="1" applyFont="1" applyFill="1" applyBorder="1" applyAlignment="1">
      <alignment horizontal="center"/>
    </xf>
    <xf numFmtId="37" fontId="74" fillId="42" borderId="12" xfId="1017" applyFont="1" applyFill="1" applyBorder="1" applyAlignment="1">
      <alignment horizontal="center"/>
    </xf>
    <xf numFmtId="42" fontId="74" fillId="42" borderId="12" xfId="1017" applyNumberFormat="1" applyFont="1" applyFill="1" applyBorder="1" applyAlignment="1">
      <alignment horizontal="center"/>
    </xf>
    <xf numFmtId="251" fontId="74" fillId="42" borderId="12" xfId="1017" applyNumberFormat="1" applyFont="1" applyFill="1" applyBorder="1" applyAlignment="1">
      <alignment horizontal="center"/>
    </xf>
    <xf numFmtId="37" fontId="74" fillId="42" borderId="0" xfId="1017" applyFont="1" applyFill="1"/>
    <xf numFmtId="37" fontId="156" fillId="42" borderId="0" xfId="1017" applyFill="1"/>
    <xf numFmtId="42" fontId="74" fillId="42" borderId="0" xfId="1017" applyNumberFormat="1" applyFont="1" applyFill="1"/>
    <xf numFmtId="39" fontId="74" fillId="42" borderId="0" xfId="1017" applyNumberFormat="1" applyFont="1" applyFill="1" applyAlignment="1">
      <alignment horizontal="center"/>
    </xf>
    <xf numFmtId="37" fontId="74" fillId="42" borderId="0" xfId="1017" applyFont="1" applyFill="1" applyAlignment="1">
      <alignment horizontal="center"/>
    </xf>
    <xf numFmtId="42" fontId="74" fillId="42" borderId="0" xfId="1017" applyNumberFormat="1" applyFont="1" applyFill="1" applyAlignment="1">
      <alignment horizontal="center"/>
    </xf>
    <xf numFmtId="251" fontId="74" fillId="42" borderId="0" xfId="1017" applyNumberFormat="1" applyFont="1" applyFill="1" applyAlignment="1">
      <alignment horizontal="center"/>
    </xf>
    <xf numFmtId="37" fontId="156" fillId="42" borderId="0" xfId="1017" applyFill="1" applyAlignment="1">
      <alignment horizontal="center"/>
    </xf>
    <xf numFmtId="167" fontId="26" fillId="42" borderId="0" xfId="1017" quotePrefix="1" applyNumberFormat="1" applyFont="1" applyFill="1" applyAlignment="1">
      <alignment horizontal="center"/>
    </xf>
    <xf numFmtId="37" fontId="156" fillId="45" borderId="32" xfId="1017" applyFill="1" applyBorder="1"/>
    <xf numFmtId="167" fontId="156" fillId="45" borderId="32" xfId="1017" applyNumberFormat="1" applyFill="1" applyBorder="1" applyAlignment="1">
      <alignment horizontal="center"/>
    </xf>
    <xf numFmtId="42" fontId="74" fillId="45" borderId="32" xfId="1017" applyNumberFormat="1" applyFont="1" applyFill="1" applyBorder="1"/>
    <xf numFmtId="39" fontId="74" fillId="45" borderId="32" xfId="1017" applyNumberFormat="1" applyFont="1" applyFill="1" applyBorder="1" applyAlignment="1">
      <alignment horizontal="center"/>
    </xf>
    <xf numFmtId="42" fontId="74" fillId="45" borderId="32" xfId="1017" applyNumberFormat="1" applyFont="1" applyFill="1" applyBorder="1" applyAlignment="1">
      <alignment horizontal="center"/>
    </xf>
    <xf numFmtId="251" fontId="74" fillId="45" borderId="32" xfId="1017" applyNumberFormat="1" applyFont="1" applyFill="1" applyBorder="1" applyAlignment="1">
      <alignment horizontal="center"/>
    </xf>
    <xf numFmtId="37" fontId="26" fillId="45" borderId="69" xfId="1017" applyFont="1" applyFill="1" applyBorder="1"/>
    <xf numFmtId="37" fontId="74" fillId="45" borderId="32" xfId="1017" applyFont="1" applyFill="1" applyBorder="1" applyAlignment="1">
      <alignment horizontal="center" wrapText="1"/>
    </xf>
    <xf numFmtId="37" fontId="26" fillId="42" borderId="70" xfId="1013" applyFill="1" applyBorder="1"/>
    <xf numFmtId="37" fontId="26" fillId="42" borderId="66" xfId="1013" applyFill="1" applyBorder="1"/>
    <xf numFmtId="167" fontId="26" fillId="42" borderId="66" xfId="1013" applyNumberFormat="1" applyFill="1" applyBorder="1" applyAlignment="1">
      <alignment horizontal="center"/>
    </xf>
    <xf numFmtId="42" fontId="26" fillId="42" borderId="66" xfId="1013" applyNumberFormat="1" applyFill="1" applyBorder="1"/>
    <xf numFmtId="37" fontId="26" fillId="42" borderId="66" xfId="1013" applyFill="1" applyBorder="1" applyAlignment="1">
      <alignment horizontal="center"/>
    </xf>
    <xf numFmtId="44" fontId="26" fillId="42" borderId="66" xfId="2" applyFont="1" applyFill="1" applyBorder="1" applyAlignment="1">
      <alignment horizontal="center"/>
    </xf>
    <xf numFmtId="49" fontId="26" fillId="42" borderId="66" xfId="1013" applyNumberFormat="1" applyFill="1" applyBorder="1" applyAlignment="1">
      <alignment horizontal="center"/>
    </xf>
    <xf numFmtId="37" fontId="138" fillId="42" borderId="71" xfId="1014" applyNumberFormat="1" applyFill="1" applyBorder="1" applyAlignment="1" applyProtection="1"/>
    <xf numFmtId="37" fontId="26" fillId="42" borderId="3" xfId="1013" applyFill="1" applyBorder="1"/>
    <xf numFmtId="37" fontId="138" fillId="42" borderId="2" xfId="1014" applyNumberFormat="1" applyFill="1" applyBorder="1" applyAlignment="1" applyProtection="1"/>
    <xf numFmtId="37" fontId="26" fillId="42" borderId="72" xfId="1013" applyFill="1" applyBorder="1"/>
    <xf numFmtId="37" fontId="26" fillId="42" borderId="74" xfId="1013" applyFill="1" applyBorder="1"/>
    <xf numFmtId="167" fontId="26" fillId="42" borderId="74" xfId="1013" applyNumberFormat="1" applyFill="1" applyBorder="1" applyAlignment="1">
      <alignment horizontal="center"/>
    </xf>
    <xf numFmtId="42" fontId="26" fillId="42" borderId="74" xfId="1013" applyNumberFormat="1" applyFill="1" applyBorder="1"/>
    <xf numFmtId="37" fontId="26" fillId="42" borderId="74" xfId="1013" applyFill="1" applyBorder="1" applyAlignment="1">
      <alignment horizontal="center"/>
    </xf>
    <xf numFmtId="44" fontId="26" fillId="42" borderId="74" xfId="2" applyFont="1" applyFill="1" applyBorder="1" applyAlignment="1">
      <alignment horizontal="center"/>
    </xf>
    <xf numFmtId="49" fontId="26" fillId="42" borderId="74" xfId="1013" applyNumberFormat="1" applyFill="1" applyBorder="1" applyAlignment="1">
      <alignment horizontal="center"/>
    </xf>
    <xf numFmtId="37" fontId="138" fillId="42" borderId="78" xfId="1014" applyNumberFormat="1" applyFill="1" applyBorder="1" applyAlignment="1" applyProtection="1"/>
    <xf numFmtId="165" fontId="132" fillId="0" borderId="0" xfId="4" applyNumberFormat="1" applyFont="1" applyAlignment="1">
      <alignment horizontal="center"/>
    </xf>
    <xf numFmtId="165" fontId="129" fillId="0" borderId="0" xfId="4" applyNumberFormat="1" applyFont="1" applyAlignment="1">
      <alignment horizontal="center"/>
    </xf>
    <xf numFmtId="166" fontId="132" fillId="0" borderId="0" xfId="4" applyNumberFormat="1" applyFont="1" applyAlignment="1">
      <alignment horizontal="center"/>
    </xf>
    <xf numFmtId="0" fontId="130" fillId="42" borderId="0" xfId="7" applyFont="1" applyFill="1"/>
    <xf numFmtId="0" fontId="130" fillId="0" borderId="74" xfId="4" applyFont="1" applyBorder="1"/>
    <xf numFmtId="37" fontId="130" fillId="0" borderId="79" xfId="4" applyNumberFormat="1" applyFont="1" applyBorder="1"/>
    <xf numFmtId="0" fontId="129" fillId="0" borderId="79" xfId="4" applyFont="1" applyBorder="1"/>
    <xf numFmtId="5" fontId="130" fillId="0" borderId="79" xfId="4" applyNumberFormat="1" applyFont="1" applyBorder="1"/>
    <xf numFmtId="165" fontId="130" fillId="0" borderId="79" xfId="4" applyNumberFormat="1" applyFont="1" applyBorder="1"/>
    <xf numFmtId="0" fontId="130" fillId="0" borderId="79" xfId="4" applyFont="1" applyBorder="1"/>
    <xf numFmtId="5" fontId="130" fillId="42" borderId="79" xfId="4" applyNumberFormat="1" applyFont="1" applyFill="1" applyBorder="1"/>
    <xf numFmtId="5" fontId="129" fillId="42" borderId="79" xfId="4" applyNumberFormat="1" applyFont="1" applyFill="1" applyBorder="1"/>
    <xf numFmtId="165" fontId="130" fillId="42" borderId="79" xfId="4" applyNumberFormat="1" applyFont="1" applyFill="1" applyBorder="1"/>
    <xf numFmtId="44" fontId="129" fillId="0" borderId="0" xfId="2" applyFont="1" applyBorder="1"/>
    <xf numFmtId="49" fontId="129" fillId="0" borderId="0" xfId="4" applyNumberFormat="1" applyFont="1" applyAlignment="1">
      <alignment horizontal="left"/>
    </xf>
    <xf numFmtId="37" fontId="132" fillId="50" borderId="10" xfId="7" applyNumberFormat="1" applyFont="1" applyFill="1" applyBorder="1" applyAlignment="1">
      <alignment horizontal="center"/>
    </xf>
    <xf numFmtId="37" fontId="130" fillId="50" borderId="0" xfId="7" applyNumberFormat="1" applyFont="1" applyFill="1" applyAlignment="1">
      <alignment horizontal="right"/>
    </xf>
    <xf numFmtId="167" fontId="130" fillId="50" borderId="0" xfId="8" applyNumberFormat="1" applyFont="1" applyFill="1" applyAlignment="1">
      <alignment horizontal="right" wrapText="1"/>
    </xf>
    <xf numFmtId="0" fontId="129" fillId="50" borderId="60" xfId="4" applyFont="1" applyFill="1" applyBorder="1" applyAlignment="1">
      <alignment horizontal="right"/>
    </xf>
    <xf numFmtId="6" fontId="129" fillId="50" borderId="61" xfId="4" applyNumberFormat="1" applyFont="1" applyFill="1" applyBorder="1"/>
    <xf numFmtId="0" fontId="129" fillId="50" borderId="64" xfId="4" applyFont="1" applyFill="1" applyBorder="1" applyAlignment="1">
      <alignment horizontal="right"/>
    </xf>
    <xf numFmtId="165" fontId="155" fillId="50" borderId="65" xfId="4" applyNumberFormat="1" applyFont="1" applyFill="1" applyBorder="1"/>
    <xf numFmtId="37" fontId="74" fillId="42" borderId="64" xfId="1013" applyFont="1" applyFill="1" applyBorder="1"/>
    <xf numFmtId="37" fontId="74" fillId="42" borderId="12" xfId="1013" applyFont="1" applyFill="1" applyBorder="1"/>
    <xf numFmtId="167" fontId="74" fillId="42" borderId="12" xfId="1013" applyNumberFormat="1" applyFont="1" applyFill="1" applyBorder="1" applyAlignment="1">
      <alignment horizontal="center"/>
    </xf>
    <xf numFmtId="42" fontId="74" fillId="42" borderId="12" xfId="1013" applyNumberFormat="1" applyFont="1" applyFill="1" applyBorder="1"/>
    <xf numFmtId="37" fontId="74" fillId="42" borderId="12" xfId="1013" applyFont="1" applyFill="1" applyBorder="1" applyAlignment="1">
      <alignment horizontal="center"/>
    </xf>
    <xf numFmtId="44" fontId="74" fillId="42" borderId="12" xfId="2" applyFont="1" applyFill="1" applyBorder="1" applyAlignment="1">
      <alignment horizontal="center"/>
    </xf>
    <xf numFmtId="49" fontId="74" fillId="42" borderId="12" xfId="1013" applyNumberFormat="1" applyFont="1" applyFill="1" applyBorder="1"/>
    <xf numFmtId="37" fontId="26" fillId="42" borderId="12" xfId="1013" applyFill="1" applyBorder="1"/>
    <xf numFmtId="37" fontId="26" fillId="42" borderId="65" xfId="1013" applyFill="1" applyBorder="1"/>
    <xf numFmtId="241" fontId="129" fillId="0" borderId="0" xfId="4" applyNumberFormat="1" applyFont="1"/>
    <xf numFmtId="3" fontId="129" fillId="0" borderId="0" xfId="4" applyNumberFormat="1" applyFont="1"/>
    <xf numFmtId="164" fontId="135" fillId="0" borderId="74" xfId="4" applyNumberFormat="1" applyFont="1" applyBorder="1"/>
    <xf numFmtId="164" fontId="130" fillId="0" borderId="74" xfId="4" applyNumberFormat="1" applyFont="1" applyBorder="1"/>
    <xf numFmtId="0" fontId="131" fillId="42" borderId="0" xfId="4" applyFont="1" applyFill="1"/>
    <xf numFmtId="1" fontId="129" fillId="0" borderId="0" xfId="4" applyNumberFormat="1" applyFont="1"/>
    <xf numFmtId="0" fontId="141" fillId="0" borderId="8" xfId="1015" applyFont="1" applyBorder="1" applyAlignment="1">
      <alignment vertical="center"/>
    </xf>
    <xf numFmtId="0" fontId="153" fillId="0" borderId="8" xfId="1015" applyFont="1" applyBorder="1" applyAlignment="1">
      <alignment vertical="center"/>
    </xf>
    <xf numFmtId="239" fontId="153" fillId="0" borderId="8" xfId="1015" applyNumberFormat="1" applyFont="1" applyBorder="1" applyAlignment="1">
      <alignment horizontal="center" vertical="center"/>
    </xf>
    <xf numFmtId="0" fontId="134" fillId="0" borderId="0" xfId="4" applyFont="1" applyAlignment="1">
      <alignment horizontal="center"/>
    </xf>
    <xf numFmtId="164" fontId="134" fillId="0" borderId="0" xfId="2" applyNumberFormat="1" applyFont="1" applyAlignment="1">
      <alignment horizontal="center"/>
    </xf>
    <xf numFmtId="164" fontId="134" fillId="0" borderId="0" xfId="2" applyNumberFormat="1" applyFont="1" applyBorder="1" applyAlignment="1">
      <alignment horizontal="center"/>
    </xf>
    <xf numFmtId="44" fontId="129" fillId="0" borderId="0" xfId="2" applyFont="1"/>
    <xf numFmtId="39" fontId="26" fillId="42" borderId="0" xfId="1013" applyNumberFormat="1" applyFill="1" applyAlignment="1">
      <alignment horizontal="center"/>
    </xf>
    <xf numFmtId="42" fontId="26" fillId="0" borderId="0" xfId="1013" applyNumberFormat="1" applyAlignment="1">
      <alignment horizontal="right"/>
    </xf>
    <xf numFmtId="37" fontId="26" fillId="0" borderId="0" xfId="1013" applyAlignment="1">
      <alignment horizontal="right"/>
    </xf>
    <xf numFmtId="39" fontId="26" fillId="42" borderId="0" xfId="1013" applyNumberFormat="1" applyFill="1" applyAlignment="1">
      <alignment horizontal="right"/>
    </xf>
    <xf numFmtId="39" fontId="26" fillId="0" borderId="0" xfId="1013" applyNumberFormat="1"/>
    <xf numFmtId="6" fontId="157" fillId="0" borderId="74" xfId="0" applyNumberFormat="1" applyFont="1" applyBorder="1"/>
    <xf numFmtId="164" fontId="108" fillId="0" borderId="74" xfId="0" applyNumberFormat="1" applyFont="1" applyBorder="1"/>
    <xf numFmtId="164" fontId="158" fillId="0" borderId="74" xfId="2" applyNumberFormat="1" applyFont="1" applyBorder="1"/>
    <xf numFmtId="9" fontId="108" fillId="0" borderId="0" xfId="0" applyNumberFormat="1" applyFont="1" applyAlignment="1">
      <alignment horizontal="center"/>
    </xf>
    <xf numFmtId="164" fontId="0" fillId="50" borderId="70" xfId="2" applyNumberFormat="1" applyFont="1" applyFill="1" applyBorder="1"/>
    <xf numFmtId="164" fontId="0" fillId="50" borderId="0" xfId="2" applyNumberFormat="1" applyFont="1" applyFill="1"/>
    <xf numFmtId="164" fontId="0" fillId="50" borderId="3" xfId="2" applyNumberFormat="1" applyFont="1" applyFill="1" applyBorder="1"/>
    <xf numFmtId="9" fontId="158" fillId="0" borderId="0" xfId="3" applyFont="1" applyAlignment="1">
      <alignment horizontal="center"/>
    </xf>
    <xf numFmtId="168" fontId="129" fillId="42" borderId="0" xfId="1" applyNumberFormat="1" applyFont="1" applyFill="1"/>
    <xf numFmtId="232" fontId="129" fillId="42" borderId="0" xfId="4" applyNumberFormat="1" applyFont="1" applyFill="1"/>
    <xf numFmtId="0" fontId="129" fillId="42" borderId="0" xfId="8" applyFont="1" applyFill="1"/>
    <xf numFmtId="5" fontId="129" fillId="42" borderId="0" xfId="7" applyNumberFormat="1" applyFont="1" applyFill="1"/>
    <xf numFmtId="37" fontId="155" fillId="0" borderId="10" xfId="4" applyNumberFormat="1" applyFont="1" applyBorder="1" applyAlignment="1">
      <alignment horizontal="center"/>
    </xf>
    <xf numFmtId="37" fontId="129" fillId="0" borderId="80" xfId="4" applyNumberFormat="1" applyFont="1" applyBorder="1" applyAlignment="1">
      <alignment horizontal="center"/>
    </xf>
    <xf numFmtId="301" fontId="129" fillId="0" borderId="0" xfId="4" applyNumberFormat="1" applyFont="1" applyAlignment="1">
      <alignment horizontal="left"/>
    </xf>
    <xf numFmtId="164" fontId="129" fillId="51" borderId="0" xfId="2" applyNumberFormat="1" applyFont="1" applyFill="1"/>
    <xf numFmtId="0" fontId="129" fillId="0" borderId="74" xfId="4" applyFont="1" applyBorder="1" applyAlignment="1">
      <alignment horizontal="center"/>
    </xf>
    <xf numFmtId="9" fontId="155" fillId="0" borderId="0" xfId="3" applyFont="1"/>
    <xf numFmtId="301" fontId="129" fillId="42" borderId="0" xfId="4" applyNumberFormat="1" applyFont="1" applyFill="1" applyAlignment="1">
      <alignment horizontal="left" indent="1"/>
    </xf>
    <xf numFmtId="301" fontId="129" fillId="0" borderId="3" xfId="4" applyNumberFormat="1" applyFont="1" applyBorder="1" applyAlignment="1">
      <alignment horizontal="left"/>
    </xf>
    <xf numFmtId="0" fontId="129" fillId="42" borderId="0" xfId="4" applyFont="1" applyFill="1" applyAlignment="1">
      <alignment horizontal="right"/>
    </xf>
    <xf numFmtId="168" fontId="129" fillId="42" borderId="0" xfId="1" applyNumberFormat="1" applyFont="1" applyFill="1" applyAlignment="1">
      <alignment horizontal="right"/>
    </xf>
    <xf numFmtId="168" fontId="129" fillId="42" borderId="74" xfId="1" applyNumberFormat="1" applyFont="1" applyFill="1" applyBorder="1"/>
    <xf numFmtId="0" fontId="129" fillId="42" borderId="0" xfId="4" applyFont="1" applyFill="1" applyAlignment="1">
      <alignment horizontal="left" indent="1"/>
    </xf>
    <xf numFmtId="37" fontId="129" fillId="42" borderId="0" xfId="6" applyNumberFormat="1" applyFont="1" applyFill="1"/>
    <xf numFmtId="37" fontId="129" fillId="42" borderId="0" xfId="6" applyNumberFormat="1" applyFont="1" applyFill="1" applyAlignment="1">
      <alignment horizontal="right"/>
    </xf>
    <xf numFmtId="0" fontId="129" fillId="42" borderId="74" xfId="4" applyFont="1" applyFill="1" applyBorder="1"/>
    <xf numFmtId="0" fontId="129" fillId="42" borderId="74" xfId="4" applyFont="1" applyFill="1" applyBorder="1" applyAlignment="1">
      <alignment horizontal="left" indent="1"/>
    </xf>
    <xf numFmtId="0" fontId="130" fillId="42" borderId="74" xfId="4" applyFont="1" applyFill="1" applyBorder="1" applyAlignment="1">
      <alignment horizontal="center"/>
    </xf>
    <xf numFmtId="0" fontId="129" fillId="42" borderId="0" xfId="4" applyFont="1" applyFill="1" applyAlignment="1">
      <alignment horizontal="center"/>
    </xf>
    <xf numFmtId="0" fontId="129" fillId="42" borderId="74" xfId="4" applyFont="1" applyFill="1" applyBorder="1" applyAlignment="1">
      <alignment horizontal="center"/>
    </xf>
    <xf numFmtId="42" fontId="129" fillId="42" borderId="0" xfId="4" applyNumberFormat="1" applyFont="1" applyFill="1"/>
    <xf numFmtId="42" fontId="129" fillId="42" borderId="0" xfId="6" applyNumberFormat="1" applyFont="1" applyFill="1"/>
    <xf numFmtId="42" fontId="129" fillId="42" borderId="0" xfId="6" applyNumberFormat="1" applyFont="1" applyFill="1" applyAlignment="1">
      <alignment horizontal="right"/>
    </xf>
    <xf numFmtId="42" fontId="129" fillId="42" borderId="0" xfId="4" applyNumberFormat="1" applyFont="1" applyFill="1" applyAlignment="1">
      <alignment horizontal="right"/>
    </xf>
    <xf numFmtId="42" fontId="129" fillId="42" borderId="74" xfId="4" applyNumberFormat="1" applyFont="1" applyFill="1" applyBorder="1" applyAlignment="1">
      <alignment horizontal="right"/>
    </xf>
    <xf numFmtId="168" fontId="130" fillId="42" borderId="0" xfId="1" applyNumberFormat="1" applyFont="1" applyFill="1"/>
    <xf numFmtId="37" fontId="130" fillId="0" borderId="0" xfId="6" applyNumberFormat="1" applyFont="1" applyAlignment="1">
      <alignment horizontal="right"/>
    </xf>
    <xf numFmtId="42" fontId="130" fillId="0" borderId="0" xfId="6" applyNumberFormat="1" applyFont="1" applyAlignment="1">
      <alignment horizontal="right"/>
    </xf>
    <xf numFmtId="42" fontId="130" fillId="42" borderId="101" xfId="6" applyNumberFormat="1" applyFont="1" applyFill="1" applyBorder="1" applyAlignment="1">
      <alignment horizontal="right"/>
    </xf>
    <xf numFmtId="42" fontId="129" fillId="42" borderId="101" xfId="2" applyNumberFormat="1" applyFont="1" applyFill="1" applyBorder="1"/>
    <xf numFmtId="42" fontId="129" fillId="42" borderId="101" xfId="1" applyNumberFormat="1" applyFont="1" applyFill="1" applyBorder="1" applyAlignment="1">
      <alignment horizontal="right"/>
    </xf>
    <xf numFmtId="42" fontId="129" fillId="42" borderId="0" xfId="2" applyNumberFormat="1" applyFont="1" applyFill="1" applyBorder="1"/>
    <xf numFmtId="42" fontId="129" fillId="42" borderId="81" xfId="1" applyNumberFormat="1" applyFont="1" applyFill="1" applyBorder="1" applyAlignment="1">
      <alignment horizontal="right"/>
    </xf>
    <xf numFmtId="42" fontId="129" fillId="42" borderId="0" xfId="1" applyNumberFormat="1" applyFont="1" applyFill="1" applyBorder="1" applyAlignment="1">
      <alignment horizontal="right"/>
    </xf>
    <xf numFmtId="164" fontId="130" fillId="42" borderId="9" xfId="2" applyNumberFormat="1" applyFont="1" applyFill="1" applyBorder="1"/>
    <xf numFmtId="164" fontId="129" fillId="42" borderId="103" xfId="2" applyNumberFormat="1" applyFont="1" applyFill="1" applyBorder="1"/>
    <xf numFmtId="164" fontId="129" fillId="42" borderId="2" xfId="2" applyNumberFormat="1" applyFont="1" applyFill="1" applyBorder="1"/>
    <xf numFmtId="164" fontId="159" fillId="0" borderId="0" xfId="2" applyNumberFormat="1" applyFont="1" applyBorder="1"/>
    <xf numFmtId="239" fontId="130" fillId="42" borderId="101" xfId="6" applyNumberFormat="1" applyFont="1" applyFill="1" applyBorder="1" applyAlignment="1">
      <alignment horizontal="center"/>
    </xf>
    <xf numFmtId="37" fontId="130" fillId="42" borderId="101" xfId="6" applyNumberFormat="1" applyFont="1" applyFill="1" applyBorder="1" applyAlignment="1">
      <alignment horizontal="right"/>
    </xf>
    <xf numFmtId="168" fontId="130" fillId="42" borderId="101" xfId="1" applyNumberFormat="1" applyFont="1" applyFill="1" applyBorder="1"/>
    <xf numFmtId="0" fontId="108" fillId="42" borderId="101" xfId="1018" applyFont="1" applyFill="1" applyBorder="1"/>
    <xf numFmtId="0" fontId="130" fillId="42" borderId="101" xfId="4" applyFont="1" applyFill="1" applyBorder="1" applyAlignment="1">
      <alignment horizontal="center"/>
    </xf>
    <xf numFmtId="0" fontId="108" fillId="42" borderId="102" xfId="0" applyFont="1" applyFill="1" applyBorder="1"/>
    <xf numFmtId="0" fontId="129" fillId="42" borderId="102" xfId="4" applyFont="1" applyFill="1" applyBorder="1"/>
    <xf numFmtId="0" fontId="129" fillId="42" borderId="3" xfId="4" applyFont="1" applyFill="1" applyBorder="1"/>
    <xf numFmtId="0" fontId="130" fillId="41" borderId="9" xfId="4" applyFont="1" applyFill="1" applyBorder="1" applyAlignment="1">
      <alignment horizontal="center" wrapText="1"/>
    </xf>
    <xf numFmtId="0" fontId="130" fillId="41" borderId="8" xfId="4" applyFont="1" applyFill="1" applyBorder="1" applyAlignment="1">
      <alignment horizontal="center" wrapText="1"/>
    </xf>
    <xf numFmtId="0" fontId="130" fillId="41" borderId="8" xfId="4" applyFont="1" applyFill="1" applyBorder="1" applyAlignment="1">
      <alignment horizontal="center"/>
    </xf>
    <xf numFmtId="0" fontId="130" fillId="41" borderId="7" xfId="4" applyFont="1" applyFill="1" applyBorder="1"/>
    <xf numFmtId="0" fontId="0" fillId="0" borderId="0" xfId="0" applyAlignment="1">
      <alignment horizontal="center"/>
    </xf>
    <xf numFmtId="239" fontId="129" fillId="42" borderId="101" xfId="2" applyNumberFormat="1" applyFont="1" applyFill="1" applyBorder="1" applyAlignment="1">
      <alignment horizontal="center"/>
    </xf>
    <xf numFmtId="239" fontId="129" fillId="42" borderId="0" xfId="2" applyNumberFormat="1" applyFont="1" applyFill="1" applyBorder="1" applyAlignment="1">
      <alignment horizontal="center"/>
    </xf>
    <xf numFmtId="164" fontId="155" fillId="42" borderId="101" xfId="2" applyNumberFormat="1" applyFont="1" applyFill="1" applyBorder="1"/>
    <xf numFmtId="164" fontId="155" fillId="42" borderId="0" xfId="2" applyNumberFormat="1" applyFont="1" applyFill="1" applyBorder="1"/>
    <xf numFmtId="0" fontId="0" fillId="0" borderId="0" xfId="0" applyAlignment="1">
      <alignment horizontal="right"/>
    </xf>
    <xf numFmtId="5" fontId="155" fillId="42" borderId="101" xfId="1" applyNumberFormat="1" applyFont="1" applyFill="1" applyBorder="1" applyAlignment="1">
      <alignment horizontal="center"/>
    </xf>
    <xf numFmtId="5" fontId="155" fillId="42" borderId="0" xfId="1" applyNumberFormat="1" applyFont="1" applyFill="1" applyBorder="1" applyAlignment="1">
      <alignment horizontal="center"/>
    </xf>
    <xf numFmtId="9" fontId="129" fillId="42" borderId="101" xfId="3" applyFont="1" applyFill="1" applyBorder="1" applyAlignment="1">
      <alignment horizontal="center"/>
    </xf>
    <xf numFmtId="164" fontId="129" fillId="42" borderId="101" xfId="2" applyNumberFormat="1" applyFont="1" applyFill="1" applyBorder="1"/>
    <xf numFmtId="0" fontId="129" fillId="42" borderId="101" xfId="4" applyFont="1" applyFill="1" applyBorder="1" applyAlignment="1">
      <alignment horizontal="left" indent="1"/>
    </xf>
    <xf numFmtId="0" fontId="129" fillId="42" borderId="101" xfId="4" applyFont="1" applyFill="1" applyBorder="1" applyAlignment="1">
      <alignment horizontal="center"/>
    </xf>
    <xf numFmtId="0" fontId="129" fillId="42" borderId="101" xfId="4" applyFont="1" applyFill="1" applyBorder="1"/>
    <xf numFmtId="9" fontId="129" fillId="42" borderId="0" xfId="3" applyFont="1" applyFill="1" applyBorder="1" applyAlignment="1">
      <alignment horizontal="center"/>
    </xf>
    <xf numFmtId="168" fontId="129" fillId="42" borderId="0" xfId="1" applyNumberFormat="1" applyFont="1" applyFill="1" applyBorder="1" applyAlignment="1">
      <alignment horizontal="right"/>
    </xf>
    <xf numFmtId="168" fontId="129" fillId="42" borderId="0" xfId="1" applyNumberFormat="1" applyFont="1" applyFill="1" applyBorder="1"/>
    <xf numFmtId="168" fontId="129" fillId="42" borderId="101" xfId="1" applyNumberFormat="1" applyFont="1" applyFill="1" applyBorder="1"/>
    <xf numFmtId="168" fontId="129" fillId="42" borderId="0" xfId="1" applyNumberFormat="1" applyFont="1" applyFill="1" applyBorder="1" applyAlignment="1">
      <alignment horizontal="center"/>
    </xf>
    <xf numFmtId="168" fontId="129" fillId="42" borderId="101" xfId="1" applyNumberFormat="1" applyFont="1" applyFill="1" applyBorder="1" applyAlignment="1">
      <alignment horizontal="center"/>
    </xf>
    <xf numFmtId="0" fontId="129" fillId="0" borderId="81" xfId="4" applyFont="1" applyBorder="1"/>
    <xf numFmtId="164" fontId="130" fillId="0" borderId="0" xfId="4" applyNumberFormat="1" applyFont="1" applyAlignment="1">
      <alignment horizontal="right"/>
    </xf>
    <xf numFmtId="0" fontId="129" fillId="0" borderId="102" xfId="4" applyFont="1" applyBorder="1"/>
    <xf numFmtId="0" fontId="129" fillId="0" borderId="101" xfId="4" applyFont="1" applyBorder="1"/>
    <xf numFmtId="6" fontId="129" fillId="0" borderId="101" xfId="4" applyNumberFormat="1" applyFont="1" applyBorder="1"/>
    <xf numFmtId="0" fontId="129" fillId="0" borderId="103" xfId="4" applyFont="1" applyBorder="1"/>
    <xf numFmtId="0" fontId="130" fillId="40" borderId="8" xfId="4" applyFont="1" applyFill="1" applyBorder="1" applyAlignment="1">
      <alignment horizontal="center"/>
    </xf>
    <xf numFmtId="0" fontId="108" fillId="0" borderId="74" xfId="0" applyFont="1" applyBorder="1" applyAlignment="1">
      <alignment horizontal="center"/>
    </xf>
    <xf numFmtId="0" fontId="108" fillId="0" borderId="8" xfId="0" applyFont="1" applyBorder="1" applyAlignment="1">
      <alignment horizontal="center"/>
    </xf>
    <xf numFmtId="0" fontId="130" fillId="0" borderId="0" xfId="4" applyFont="1" applyAlignment="1">
      <alignment textRotation="90"/>
    </xf>
    <xf numFmtId="0" fontId="130" fillId="41" borderId="8" xfId="4" applyFont="1" applyFill="1" applyBorder="1" applyAlignment="1">
      <alignment horizontal="center"/>
    </xf>
    <xf numFmtId="164" fontId="129" fillId="0" borderId="101" xfId="2" applyNumberFormat="1" applyFont="1" applyBorder="1"/>
    <xf numFmtId="232" fontId="129" fillId="0" borderId="0" xfId="4" applyNumberFormat="1" applyFont="1"/>
  </cellXfs>
  <cellStyles count="1158">
    <cellStyle name="$" xfId="9" xr:uid="{00000000-0005-0000-0000-000000000000}"/>
    <cellStyle name="$ 0 decimal" xfId="10" xr:uid="{00000000-0005-0000-0000-000001000000}"/>
    <cellStyle name="$ 1 decimal" xfId="11" xr:uid="{00000000-0005-0000-0000-000002000000}"/>
    <cellStyle name="$ 2 decimals" xfId="12" xr:uid="{00000000-0005-0000-0000-000003000000}"/>
    <cellStyle name="$m" xfId="13" xr:uid="{00000000-0005-0000-0000-000004000000}"/>
    <cellStyle name="$q" xfId="14" xr:uid="{00000000-0005-0000-0000-000005000000}"/>
    <cellStyle name="$q*" xfId="15" xr:uid="{00000000-0005-0000-0000-000006000000}"/>
    <cellStyle name="$q_AVP" xfId="16" xr:uid="{00000000-0005-0000-0000-000007000000}"/>
    <cellStyle name="$qA" xfId="17" xr:uid="{00000000-0005-0000-0000-000008000000}"/>
    <cellStyle name="$qRange" xfId="18" xr:uid="{00000000-0005-0000-0000-000009000000}"/>
    <cellStyle name=";;;" xfId="19" xr:uid="{00000000-0005-0000-0000-00000A000000}"/>
    <cellStyle name="???Eed Cell" xfId="20" xr:uid="{00000000-0005-0000-0000-00000B000000}"/>
    <cellStyle name="??_VERA" xfId="21" xr:uid="{00000000-0005-0000-0000-00000C000000}"/>
    <cellStyle name="_%(SignOnly)" xfId="22" xr:uid="{00000000-0005-0000-0000-00000D000000}"/>
    <cellStyle name="_%(SignSpaceOnly)" xfId="23" xr:uid="{00000000-0005-0000-0000-00000E000000}"/>
    <cellStyle name="_Comma" xfId="24" xr:uid="{00000000-0005-0000-0000-00000F000000}"/>
    <cellStyle name="_Comma_Phantom Interests Calculation" xfId="25" xr:uid="{00000000-0005-0000-0000-000010000000}"/>
    <cellStyle name="_Comma_Wailea Model_CL v12" xfId="26" xr:uid="{00000000-0005-0000-0000-000011000000}"/>
    <cellStyle name="_Comma_WH 5_ICON Parking_MY2003_promote" xfId="27" xr:uid="{00000000-0005-0000-0000-000012000000}"/>
    <cellStyle name="_Comma_WH 5_Mallah Company_MY 2002" xfId="28" xr:uid="{00000000-0005-0000-0000-000013000000}"/>
    <cellStyle name="_Comma_WH 5_Mallah Company_MY 2002_Rebuy_12.02.022" xfId="29" xr:uid="{00000000-0005-0000-0000-000014000000}"/>
    <cellStyle name="_Currency" xfId="30" xr:uid="{00000000-0005-0000-0000-000015000000}"/>
    <cellStyle name="_Currency_Phantom Interests Calculation" xfId="31" xr:uid="{00000000-0005-0000-0000-000016000000}"/>
    <cellStyle name="_Currency_Wailea Model_CL v12" xfId="32" xr:uid="{00000000-0005-0000-0000-000017000000}"/>
    <cellStyle name="_Currency_WH 5_ICON Parking_MY2003_promote" xfId="33" xr:uid="{00000000-0005-0000-0000-000018000000}"/>
    <cellStyle name="_Currency_WH 5_Mallah Company_MY 2002" xfId="34" xr:uid="{00000000-0005-0000-0000-000019000000}"/>
    <cellStyle name="_Currency_WH 5_Mallah Company_MY 2002_Rebuy_12.02.022" xfId="35" xr:uid="{00000000-0005-0000-0000-00001A000000}"/>
    <cellStyle name="_CurrencySpace" xfId="36" xr:uid="{00000000-0005-0000-0000-00001B000000}"/>
    <cellStyle name="_CurrencySpace_Phantom Interests Calculation" xfId="37" xr:uid="{00000000-0005-0000-0000-00001C000000}"/>
    <cellStyle name="_CurrencySpace_Wailea Model_CL v12" xfId="38" xr:uid="{00000000-0005-0000-0000-00001D000000}"/>
    <cellStyle name="_CurrencySpace_WH 5_ICON Parking_MY2003_promote" xfId="39" xr:uid="{00000000-0005-0000-0000-00001E000000}"/>
    <cellStyle name="_CurrencySpace_WH 5_Mallah Company_MY 2002" xfId="40" xr:uid="{00000000-0005-0000-0000-00001F000000}"/>
    <cellStyle name="_CurrencySpace_WH 5_Mallah Company_MY 2002_Rebuy_12.02.022" xfId="41" xr:uid="{00000000-0005-0000-0000-000020000000}"/>
    <cellStyle name="_Euro" xfId="42" xr:uid="{00000000-0005-0000-0000-000021000000}"/>
    <cellStyle name="_Heading" xfId="43" xr:uid="{00000000-0005-0000-0000-000022000000}"/>
    <cellStyle name="_Heading_Ala Wai Watermark Model_May 2005_2Roy" xfId="44" xr:uid="{00000000-0005-0000-0000-000023000000}"/>
    <cellStyle name="_Heading_Sunnyca front page charts" xfId="45" xr:uid="{00000000-0005-0000-0000-000024000000}"/>
    <cellStyle name="_Highlight" xfId="46" xr:uid="{00000000-0005-0000-0000-000025000000}"/>
    <cellStyle name="_Multiple" xfId="47" xr:uid="{00000000-0005-0000-0000-000026000000}"/>
    <cellStyle name="_Multiple_Phantom Interests Calculation" xfId="48" xr:uid="{00000000-0005-0000-0000-000027000000}"/>
    <cellStyle name="_Multiple_Wailea Model_CL v12" xfId="49" xr:uid="{00000000-0005-0000-0000-000028000000}"/>
    <cellStyle name="_Multiple_WH 5_ICON Parking_MY2003_promote" xfId="50" xr:uid="{00000000-0005-0000-0000-000029000000}"/>
    <cellStyle name="_Multiple_WH 5_Mallah Company_MY 2002" xfId="51" xr:uid="{00000000-0005-0000-0000-00002A000000}"/>
    <cellStyle name="_Multiple_WH 5_Mallah Company_MY 2002_Rebuy_12.02.022" xfId="52" xr:uid="{00000000-0005-0000-0000-00002B000000}"/>
    <cellStyle name="_MultipleSpace" xfId="53" xr:uid="{00000000-0005-0000-0000-00002C000000}"/>
    <cellStyle name="_MultipleSpace_Phantom Interests Calculation" xfId="54" xr:uid="{00000000-0005-0000-0000-00002D000000}"/>
    <cellStyle name="_MultipleSpace_Wailea Model_CL v12" xfId="55" xr:uid="{00000000-0005-0000-0000-00002E000000}"/>
    <cellStyle name="_MultipleSpace_WH 5_ICON Parking_MY2003_promote" xfId="56" xr:uid="{00000000-0005-0000-0000-00002F000000}"/>
    <cellStyle name="_MultipleSpace_WH 5_Mallah Company_MY 2002" xfId="57" xr:uid="{00000000-0005-0000-0000-000030000000}"/>
    <cellStyle name="_MultipleSpace_WH 5_Mallah Company_MY 2002_Rebuy_12.02.022" xfId="58" xr:uid="{00000000-0005-0000-0000-000031000000}"/>
    <cellStyle name="_Percent" xfId="59" xr:uid="{00000000-0005-0000-0000-000032000000}"/>
    <cellStyle name="_PercentSpace" xfId="60" xr:uid="{00000000-0005-0000-0000-000033000000}"/>
    <cellStyle name="_SubHeading" xfId="61" xr:uid="{00000000-0005-0000-0000-000034000000}"/>
    <cellStyle name="_SubHeading_Ala Wai Watermark Model_May 2005_2Roy" xfId="62" xr:uid="{00000000-0005-0000-0000-000035000000}"/>
    <cellStyle name="_SubHeading_Sunnyca front page charts" xfId="63" xr:uid="{00000000-0005-0000-0000-000036000000}"/>
    <cellStyle name="_Table" xfId="64" xr:uid="{00000000-0005-0000-0000-000037000000}"/>
    <cellStyle name="_Table_Ala Wai Watermark Model_May 2005_2Roy" xfId="65" xr:uid="{00000000-0005-0000-0000-000038000000}"/>
    <cellStyle name="_Table_Sunnyca front page charts" xfId="66" xr:uid="{00000000-0005-0000-0000-000039000000}"/>
    <cellStyle name="_TableHead" xfId="67" xr:uid="{00000000-0005-0000-0000-00003A000000}"/>
    <cellStyle name="_TableHead_Ala Wai Watermark Model_May 2005_2Roy" xfId="68" xr:uid="{00000000-0005-0000-0000-00003B000000}"/>
    <cellStyle name="_TableHead_Sunnyca front page charts" xfId="69" xr:uid="{00000000-0005-0000-0000-00003C000000}"/>
    <cellStyle name="_TableRowHead" xfId="70" xr:uid="{00000000-0005-0000-0000-00003D000000}"/>
    <cellStyle name="_TableRowHead_Ala Wai Watermark Model_May 2005_2Roy" xfId="71" xr:uid="{00000000-0005-0000-0000-00003E000000}"/>
    <cellStyle name="_TableRowHead_Sunnyca front page charts" xfId="72" xr:uid="{00000000-0005-0000-0000-00003F000000}"/>
    <cellStyle name="_TableSuperHead" xfId="73" xr:uid="{00000000-0005-0000-0000-000040000000}"/>
    <cellStyle name="_TableSuperHead_Ala Wai Watermark Model_May 2005_2Roy" xfId="74" xr:uid="{00000000-0005-0000-0000-000041000000}"/>
    <cellStyle name="_TableSuperHead_Sunnyca front page charts" xfId="75" xr:uid="{00000000-0005-0000-0000-000042000000}"/>
    <cellStyle name="£ BP" xfId="76" xr:uid="{00000000-0005-0000-0000-000043000000}"/>
    <cellStyle name="£Currency [0]" xfId="77" xr:uid="{00000000-0005-0000-0000-000044000000}"/>
    <cellStyle name="£Currency [1]" xfId="78" xr:uid="{00000000-0005-0000-0000-000045000000}"/>
    <cellStyle name="£Currency [2]" xfId="79" xr:uid="{00000000-0005-0000-0000-000046000000}"/>
    <cellStyle name="£Currency [p]" xfId="80" xr:uid="{00000000-0005-0000-0000-000047000000}"/>
    <cellStyle name="£Currency [p2]" xfId="81" xr:uid="{00000000-0005-0000-0000-000048000000}"/>
    <cellStyle name="£Pounds" xfId="82" xr:uid="{00000000-0005-0000-0000-000049000000}"/>
    <cellStyle name="¥ JY" xfId="83" xr:uid="{00000000-0005-0000-0000-00004A000000}"/>
    <cellStyle name="0.0 x" xfId="84" xr:uid="{00000000-0005-0000-0000-00004B000000}"/>
    <cellStyle name="000" xfId="85" xr:uid="{00000000-0005-0000-0000-00004C000000}"/>
    <cellStyle name="3$" xfId="86" xr:uid="{00000000-0005-0000-0000-00004D000000}"/>
    <cellStyle name="AFE" xfId="87" xr:uid="{00000000-0005-0000-0000-00004E000000}"/>
    <cellStyle name="ag" xfId="88" xr:uid="{00000000-0005-0000-0000-00004F000000}"/>
    <cellStyle name="args.style" xfId="89" xr:uid="{00000000-0005-0000-0000-000050000000}"/>
    <cellStyle name="Arial 10" xfId="90" xr:uid="{00000000-0005-0000-0000-000051000000}"/>
    <cellStyle name="Arial 12" xfId="91" xr:uid="{00000000-0005-0000-0000-000052000000}"/>
    <cellStyle name="b" xfId="92" xr:uid="{00000000-0005-0000-0000-000053000000}"/>
    <cellStyle name="BLACK" xfId="93" xr:uid="{00000000-0005-0000-0000-000054000000}"/>
    <cellStyle name="Blank[,]" xfId="94" xr:uid="{00000000-0005-0000-0000-000055000000}"/>
    <cellStyle name="Blank[1%]" xfId="95" xr:uid="{00000000-0005-0000-0000-000056000000}"/>
    <cellStyle name="Blue" xfId="96" xr:uid="{00000000-0005-0000-0000-000057000000}"/>
    <cellStyle name="blue currency" xfId="97" xr:uid="{00000000-0005-0000-0000-000058000000}"/>
    <cellStyle name="BLUE date" xfId="98" xr:uid="{00000000-0005-0000-0000-000059000000}"/>
    <cellStyle name="blue$00" xfId="99" xr:uid="{00000000-0005-0000-0000-00005A000000}"/>
    <cellStyle name="BLUE_Citrix_2pgr2" xfId="100" xr:uid="{00000000-0005-0000-0000-00005B000000}"/>
    <cellStyle name="Body" xfId="101" xr:uid="{00000000-0005-0000-0000-00005C000000}"/>
    <cellStyle name="Bold/Border" xfId="102" xr:uid="{00000000-0005-0000-0000-00005D000000}"/>
    <cellStyle name="Bold/Border 2" xfId="1019" xr:uid="{98DC929F-B7F6-4F34-A542-85E36158187A}"/>
    <cellStyle name="Border" xfId="103" xr:uid="{00000000-0005-0000-0000-00005E000000}"/>
    <cellStyle name="Border 2" xfId="1020" xr:uid="{E863F316-DD2B-45F2-AD71-DA31A24CB180}"/>
    <cellStyle name="Border Heavy" xfId="104" xr:uid="{00000000-0005-0000-0000-00005F000000}"/>
    <cellStyle name="Border Thin" xfId="105" xr:uid="{00000000-0005-0000-0000-000060000000}"/>
    <cellStyle name="Border Thin 2" xfId="1021" xr:uid="{1BCEDCFC-A352-4C50-9E5B-FA7D32E742AC}"/>
    <cellStyle name="Bottom Border Line" xfId="106" xr:uid="{00000000-0005-0000-0000-000061000000}"/>
    <cellStyle name="Bottom Border Line 2" xfId="1022" xr:uid="{A21D89D9-A936-4BF2-B5A5-6B359FBC7C75}"/>
    <cellStyle name="brad" xfId="107" xr:uid="{00000000-0005-0000-0000-000062000000}"/>
    <cellStyle name="British Pound" xfId="108" xr:uid="{00000000-0005-0000-0000-000063000000}"/>
    <cellStyle name="bullet" xfId="109" xr:uid="{00000000-0005-0000-0000-000064000000}"/>
    <cellStyle name="Calc Currency (0)" xfId="110" xr:uid="{00000000-0005-0000-0000-000065000000}"/>
    <cellStyle name="Calc Currency (2)" xfId="111" xr:uid="{00000000-0005-0000-0000-000066000000}"/>
    <cellStyle name="Calc Percent (0)" xfId="112" xr:uid="{00000000-0005-0000-0000-000067000000}"/>
    <cellStyle name="Calc Percent (1)" xfId="113" xr:uid="{00000000-0005-0000-0000-000068000000}"/>
    <cellStyle name="Calc Percent (2)" xfId="114" xr:uid="{00000000-0005-0000-0000-000069000000}"/>
    <cellStyle name="Calc Units (0)" xfId="115" xr:uid="{00000000-0005-0000-0000-00006A000000}"/>
    <cellStyle name="Calc Units (1)" xfId="116" xr:uid="{00000000-0005-0000-0000-00006B000000}"/>
    <cellStyle name="Calc Units (2)" xfId="117" xr:uid="{00000000-0005-0000-0000-00006C000000}"/>
    <cellStyle name="caps 0.00" xfId="118" xr:uid="{00000000-0005-0000-0000-00006D000000}"/>
    <cellStyle name="capsdate" xfId="119" xr:uid="{00000000-0005-0000-0000-00006E000000}"/>
    <cellStyle name="Case" xfId="120" xr:uid="{00000000-0005-0000-0000-00006F000000}"/>
    <cellStyle name="Center Across" xfId="121" xr:uid="{00000000-0005-0000-0000-000070000000}"/>
    <cellStyle name="Center Across 2" xfId="1023" xr:uid="{16A8A495-8872-4999-A0FD-17AD19ED38CE}"/>
    <cellStyle name="Check Cell" xfId="1012" builtinId="23" customBuiltin="1"/>
    <cellStyle name="chey" xfId="122" xr:uid="{00000000-0005-0000-0000-000071000000}"/>
    <cellStyle name="colheadleft" xfId="123" xr:uid="{00000000-0005-0000-0000-000072000000}"/>
    <cellStyle name="colheadright" xfId="124" xr:uid="{00000000-0005-0000-0000-000073000000}"/>
    <cellStyle name="colheadright 2" xfId="1024" xr:uid="{FE1BAEE8-749B-4D72-9881-E60263CFC1ED}"/>
    <cellStyle name="Column Heading" xfId="125" xr:uid="{00000000-0005-0000-0000-000074000000}"/>
    <cellStyle name="Comma" xfId="1" builtinId="3"/>
    <cellStyle name="Comma  - Style1" xfId="126" xr:uid="{00000000-0005-0000-0000-000076000000}"/>
    <cellStyle name="Comma  - Style2" xfId="127" xr:uid="{00000000-0005-0000-0000-000077000000}"/>
    <cellStyle name="Comma  - Style3" xfId="128" xr:uid="{00000000-0005-0000-0000-000078000000}"/>
    <cellStyle name="Comma  - Style4" xfId="129" xr:uid="{00000000-0005-0000-0000-000079000000}"/>
    <cellStyle name="Comma  - Style5" xfId="130" xr:uid="{00000000-0005-0000-0000-00007A000000}"/>
    <cellStyle name="Comma  - Style6" xfId="131" xr:uid="{00000000-0005-0000-0000-00007B000000}"/>
    <cellStyle name="Comma  - Style7" xfId="132" xr:uid="{00000000-0005-0000-0000-00007C000000}"/>
    <cellStyle name="Comma  - Style8" xfId="133" xr:uid="{00000000-0005-0000-0000-00007D000000}"/>
    <cellStyle name="Comma (2)" xfId="134" xr:uid="{00000000-0005-0000-0000-00007E000000}"/>
    <cellStyle name="Comma [00]" xfId="135" xr:uid="{00000000-0005-0000-0000-00007F000000}"/>
    <cellStyle name="Comma [1]" xfId="136" xr:uid="{00000000-0005-0000-0000-000080000000}"/>
    <cellStyle name="Comma 0" xfId="137" xr:uid="{00000000-0005-0000-0000-000081000000}"/>
    <cellStyle name="Comma 2" xfId="138" xr:uid="{00000000-0005-0000-0000-000082000000}"/>
    <cellStyle name="Comma 2 2" xfId="139" xr:uid="{00000000-0005-0000-0000-000083000000}"/>
    <cellStyle name="Comma 3" xfId="140" xr:uid="{00000000-0005-0000-0000-000084000000}"/>
    <cellStyle name="Comma 3 2" xfId="141" xr:uid="{00000000-0005-0000-0000-000085000000}"/>
    <cellStyle name="Comma x" xfId="142" xr:uid="{00000000-0005-0000-0000-000086000000}"/>
    <cellStyle name="Comma0" xfId="143" xr:uid="{00000000-0005-0000-0000-000087000000}"/>
    <cellStyle name="Comma0 - Style5" xfId="144" xr:uid="{00000000-0005-0000-0000-000088000000}"/>
    <cellStyle name="Comma0_IP4_v13" xfId="145" xr:uid="{00000000-0005-0000-0000-000089000000}"/>
    <cellStyle name="Comma1 - Style1" xfId="146" xr:uid="{00000000-0005-0000-0000-00008A000000}"/>
    <cellStyle name="Copied" xfId="147" xr:uid="{00000000-0005-0000-0000-00008B000000}"/>
    <cellStyle name="Curren - Style2" xfId="148" xr:uid="{00000000-0005-0000-0000-00008C000000}"/>
    <cellStyle name="Currency" xfId="2" builtinId="4"/>
    <cellStyle name="Currency (2)" xfId="149" xr:uid="{00000000-0005-0000-0000-00008E000000}"/>
    <cellStyle name="Currency [00]" xfId="150" xr:uid="{00000000-0005-0000-0000-00008F000000}"/>
    <cellStyle name="Currency [1]" xfId="151" xr:uid="{00000000-0005-0000-0000-000090000000}"/>
    <cellStyle name="Currency [2]" xfId="152" xr:uid="{00000000-0005-0000-0000-000091000000}"/>
    <cellStyle name="Currency 0" xfId="153" xr:uid="{00000000-0005-0000-0000-000092000000}"/>
    <cellStyle name="Currency 2" xfId="154" xr:uid="{00000000-0005-0000-0000-000093000000}"/>
    <cellStyle name="Currency 3" xfId="155" xr:uid="{00000000-0005-0000-0000-000094000000}"/>
    <cellStyle name="Currency0" xfId="156" xr:uid="{00000000-0005-0000-0000-000095000000}"/>
    <cellStyle name="Currency1" xfId="157" xr:uid="{00000000-0005-0000-0000-000096000000}"/>
    <cellStyle name="d_yield" xfId="158" xr:uid="{00000000-0005-0000-0000-000097000000}"/>
    <cellStyle name="d_yield_AVP" xfId="159" xr:uid="{00000000-0005-0000-0000-000098000000}"/>
    <cellStyle name="d_yield_AVP_Graphic Depiction - NO DEV" xfId="160" xr:uid="{00000000-0005-0000-0000-000099000000}"/>
    <cellStyle name="d_yield_AVP_THEsumPage (2)" xfId="161" xr:uid="{00000000-0005-0000-0000-00009A000000}"/>
    <cellStyle name="d_yield_CLP One-pager" xfId="162" xr:uid="{00000000-0005-0000-0000-00009B000000}"/>
    <cellStyle name="d_yield_CompSheet" xfId="163" xr:uid="{00000000-0005-0000-0000-00009C000000}"/>
    <cellStyle name="d_yield_crr.dcf2" xfId="164" xr:uid="{00000000-0005-0000-0000-00009D000000}"/>
    <cellStyle name="d_yield_Disc Analysis" xfId="165" xr:uid="{00000000-0005-0000-0000-00009E000000}"/>
    <cellStyle name="d_yield_Disc Analysis_CompSheet" xfId="166" xr:uid="{00000000-0005-0000-0000-00009F000000}"/>
    <cellStyle name="d_yield_Disc Analysis_THEsumPage (2)" xfId="167" xr:uid="{00000000-0005-0000-0000-0000A0000000}"/>
    <cellStyle name="d_yield_Fairness Opinion Valuation 4-23a.xls Chart 1" xfId="168" xr:uid="{00000000-0005-0000-0000-0000A1000000}"/>
    <cellStyle name="d_yield_LP Chart" xfId="169" xr:uid="{00000000-0005-0000-0000-0000A2000000}"/>
    <cellStyle name="d_yield_LP Chart_THEsumPage (2)" xfId="170" xr:uid="{00000000-0005-0000-0000-0000A3000000}"/>
    <cellStyle name="d_yield_Merg Cons" xfId="171" xr:uid="{00000000-0005-0000-0000-0000A4000000}"/>
    <cellStyle name="d_yield_Merg Cons_CompSheet" xfId="172" xr:uid="{00000000-0005-0000-0000-0000A5000000}"/>
    <cellStyle name="d_yield_Merg Cons_THEsumPage (2)" xfId="173" xr:uid="{00000000-0005-0000-0000-0000A6000000}"/>
    <cellStyle name="d_yield_PowerValuation.xls Chart 21" xfId="174" xr:uid="{00000000-0005-0000-0000-0000A7000000}"/>
    <cellStyle name="d_yield_PowerValuation.xls Chart 28" xfId="175" xr:uid="{00000000-0005-0000-0000-0000A8000000}"/>
    <cellStyle name="d_yield_Proj10" xfId="176" xr:uid="{00000000-0005-0000-0000-0000A9000000}"/>
    <cellStyle name="d_yield_Proj10_AVP" xfId="177" xr:uid="{00000000-0005-0000-0000-0000AA000000}"/>
    <cellStyle name="d_yield_Proj10_AVP_Graphic Depiction - NO DEV" xfId="178" xr:uid="{00000000-0005-0000-0000-0000AB000000}"/>
    <cellStyle name="d_yield_Proj10_AVP_THEsumPage (2)" xfId="179" xr:uid="{00000000-0005-0000-0000-0000AC000000}"/>
    <cellStyle name="d_yield_Proj10_CompSheet" xfId="180" xr:uid="{00000000-0005-0000-0000-0000AD000000}"/>
    <cellStyle name="d_yield_Proj10_Disc Analysis" xfId="181" xr:uid="{00000000-0005-0000-0000-0000AE000000}"/>
    <cellStyle name="d_yield_Proj10_Disc Analysis_CompSheet" xfId="182" xr:uid="{00000000-0005-0000-0000-0000AF000000}"/>
    <cellStyle name="d_yield_Proj10_Disc Analysis_THEsumPage (2)" xfId="183" xr:uid="{00000000-0005-0000-0000-0000B0000000}"/>
    <cellStyle name="d_yield_Proj10_Fairness Opinion Valuation 4-23a.xls Chart 1" xfId="184" xr:uid="{00000000-0005-0000-0000-0000B1000000}"/>
    <cellStyle name="d_yield_Proj10_LP Chart" xfId="185" xr:uid="{00000000-0005-0000-0000-0000B2000000}"/>
    <cellStyle name="d_yield_Proj10_LP Chart_THEsumPage (2)" xfId="186" xr:uid="{00000000-0005-0000-0000-0000B3000000}"/>
    <cellStyle name="d_yield_Proj10_Merg Cons" xfId="187" xr:uid="{00000000-0005-0000-0000-0000B4000000}"/>
    <cellStyle name="d_yield_Proj10_Merg Cons_CompSheet" xfId="188" xr:uid="{00000000-0005-0000-0000-0000B5000000}"/>
    <cellStyle name="d_yield_Proj10_Merg Cons_THEsumPage (2)" xfId="189" xr:uid="{00000000-0005-0000-0000-0000B6000000}"/>
    <cellStyle name="d_yield_Proj10_PowerValuation.xls Chart 21" xfId="190" xr:uid="{00000000-0005-0000-0000-0000B7000000}"/>
    <cellStyle name="d_yield_Proj10_PowerValuation.xls Chart 28" xfId="191" xr:uid="{00000000-0005-0000-0000-0000B8000000}"/>
    <cellStyle name="d_yield_Proj10_Sensitivity" xfId="192" xr:uid="{00000000-0005-0000-0000-0000B9000000}"/>
    <cellStyle name="d_yield_Proj10_Sensitivity_CompSheet" xfId="193" xr:uid="{00000000-0005-0000-0000-0000BA000000}"/>
    <cellStyle name="d_yield_Proj10_Sensitivity_THEsumPage (2)" xfId="194" xr:uid="{00000000-0005-0000-0000-0000BB000000}"/>
    <cellStyle name="d_yield_Proj10_show-hold" xfId="195" xr:uid="{00000000-0005-0000-0000-0000BC000000}"/>
    <cellStyle name="d_yield_Proj10_show-hold_Graphic Depiction - NO DEV" xfId="196" xr:uid="{00000000-0005-0000-0000-0000BD000000}"/>
    <cellStyle name="d_yield_Proj10_show-hold_THEsumPage (2)" xfId="197" xr:uid="{00000000-0005-0000-0000-0000BE000000}"/>
    <cellStyle name="d_yield_Proj10_THEsumPage (2)" xfId="198" xr:uid="{00000000-0005-0000-0000-0000BF000000}"/>
    <cellStyle name="d_yield_Proj10_Valuation summaries" xfId="199" xr:uid="{00000000-0005-0000-0000-0000C0000000}"/>
    <cellStyle name="d_yield_Proj10_WACC-CableCar" xfId="200" xr:uid="{00000000-0005-0000-0000-0000C1000000}"/>
    <cellStyle name="d_yield_Proj10_WACC-CableCar_THEsumPage (2)" xfId="201" xr:uid="{00000000-0005-0000-0000-0000C2000000}"/>
    <cellStyle name="d_yield_Proj10_WACC-RAD (2)" xfId="202" xr:uid="{00000000-0005-0000-0000-0000C3000000}"/>
    <cellStyle name="d_yield_Proj10_WACC-RAD (2)_THEsumPage (2)" xfId="203" xr:uid="{00000000-0005-0000-0000-0000C4000000}"/>
    <cellStyle name="d_yield_Sensitivity" xfId="204" xr:uid="{00000000-0005-0000-0000-0000C5000000}"/>
    <cellStyle name="d_yield_Sensitivity_CompSheet" xfId="205" xr:uid="{00000000-0005-0000-0000-0000C6000000}"/>
    <cellStyle name="d_yield_Sensitivity_THEsumPage (2)" xfId="206" xr:uid="{00000000-0005-0000-0000-0000C7000000}"/>
    <cellStyle name="d_yield_show-hold" xfId="207" xr:uid="{00000000-0005-0000-0000-0000C8000000}"/>
    <cellStyle name="d_yield_show-hold_CompSheet" xfId="208" xr:uid="{00000000-0005-0000-0000-0000C9000000}"/>
    <cellStyle name="d_yield_show-hold_THEsumPage (2)" xfId="209" xr:uid="{00000000-0005-0000-0000-0000CA000000}"/>
    <cellStyle name="d_yield_Small Cap Comps 6.17 v.2" xfId="210" xr:uid="{00000000-0005-0000-0000-0000CB000000}"/>
    <cellStyle name="d_yield_THEsumPage (2)" xfId="211" xr:uid="{00000000-0005-0000-0000-0000CC000000}"/>
    <cellStyle name="d_yield_Valuation 12.02.024" xfId="212" xr:uid="{00000000-0005-0000-0000-0000CD000000}"/>
    <cellStyle name="d_yield_Valuation summaries" xfId="213" xr:uid="{00000000-0005-0000-0000-0000CE000000}"/>
    <cellStyle name="d_yield_vaulationsv5" xfId="214" xr:uid="{00000000-0005-0000-0000-0000CF000000}"/>
    <cellStyle name="d_yield_WACC-CableCar" xfId="215" xr:uid="{00000000-0005-0000-0000-0000D0000000}"/>
    <cellStyle name="d_yield_WACC-CableCar_THEsumPage (2)" xfId="216" xr:uid="{00000000-0005-0000-0000-0000D1000000}"/>
    <cellStyle name="d_yield_WACC-RAD (2)" xfId="217" xr:uid="{00000000-0005-0000-0000-0000D2000000}"/>
    <cellStyle name="d_yield_WACC-RAD (2)_THEsumPage (2)" xfId="218" xr:uid="{00000000-0005-0000-0000-0000D3000000}"/>
    <cellStyle name="dash" xfId="219" xr:uid="{00000000-0005-0000-0000-0000D4000000}"/>
    <cellStyle name="Date" xfId="220" xr:uid="{00000000-0005-0000-0000-0000D5000000}"/>
    <cellStyle name="Date Aligned" xfId="221" xr:uid="{00000000-0005-0000-0000-0000D6000000}"/>
    <cellStyle name="date month-year" xfId="222" xr:uid="{00000000-0005-0000-0000-0000D7000000}"/>
    <cellStyle name="Date Short" xfId="223" xr:uid="{00000000-0005-0000-0000-0000D8000000}"/>
    <cellStyle name="Date_Amkor Merger Model_v2" xfId="224" xr:uid="{00000000-0005-0000-0000-0000D9000000}"/>
    <cellStyle name="Date1" xfId="225" xr:uid="{00000000-0005-0000-0000-0000DA000000}"/>
    <cellStyle name="decimal 0" xfId="226" xr:uid="{00000000-0005-0000-0000-0000DB000000}"/>
    <cellStyle name="decimal 1" xfId="227" xr:uid="{00000000-0005-0000-0000-0000DC000000}"/>
    <cellStyle name="decimal 2" xfId="228" xr:uid="{00000000-0005-0000-0000-0000DD000000}"/>
    <cellStyle name="Define your own named style" xfId="229" xr:uid="{00000000-0005-0000-0000-0000DE000000}"/>
    <cellStyle name="DELTA" xfId="230" xr:uid="{00000000-0005-0000-0000-0000DF000000}"/>
    <cellStyle name="Dex Doub Line" xfId="231" xr:uid="{00000000-0005-0000-0000-0000E0000000}"/>
    <cellStyle name="Dex Doub Line 2" xfId="1025" xr:uid="{6735AB50-B14C-480B-900B-3CC44086F3D5}"/>
    <cellStyle name="Dollar1" xfId="232" xr:uid="{00000000-0005-0000-0000-0000E1000000}"/>
    <cellStyle name="Dollar1Blue" xfId="233" xr:uid="{00000000-0005-0000-0000-0000E2000000}"/>
    <cellStyle name="Dollar2" xfId="234" xr:uid="{00000000-0005-0000-0000-0000E3000000}"/>
    <cellStyle name="Dollars" xfId="235" xr:uid="{00000000-0005-0000-0000-0000E4000000}"/>
    <cellStyle name="Dollars []" xfId="236" xr:uid="{00000000-0005-0000-0000-0000E5000000}"/>
    <cellStyle name="Dotted Line" xfId="237" xr:uid="{00000000-0005-0000-0000-0000E6000000}"/>
    <cellStyle name="Double Accounting" xfId="238" xr:uid="{00000000-0005-0000-0000-0000E7000000}"/>
    <cellStyle name="dp*Accent" xfId="239" xr:uid="{00000000-0005-0000-0000-0000E8000000}"/>
    <cellStyle name="dp*ChartSubTitle" xfId="240" xr:uid="{00000000-0005-0000-0000-0000E9000000}"/>
    <cellStyle name="dp*ChartTitle" xfId="241" xr:uid="{00000000-0005-0000-0000-0000EA000000}"/>
    <cellStyle name="dp*ColumnHeading1" xfId="242" xr:uid="{00000000-0005-0000-0000-0000EB000000}"/>
    <cellStyle name="dp*ColumnHeading2" xfId="243" xr:uid="{00000000-0005-0000-0000-0000EC000000}"/>
    <cellStyle name="dp*ColumnHeadingDate" xfId="244" xr:uid="{00000000-0005-0000-0000-0000ED000000}"/>
    <cellStyle name="dp*FiscalDate" xfId="245" xr:uid="{00000000-0005-0000-0000-0000EE000000}"/>
    <cellStyle name="dp*Footnote" xfId="246" xr:uid="{00000000-0005-0000-0000-0000EF000000}"/>
    <cellStyle name="dp*Information" xfId="247" xr:uid="{00000000-0005-0000-0000-0000F0000000}"/>
    <cellStyle name="dp*LabelItalics" xfId="248" xr:uid="{00000000-0005-0000-0000-0000F1000000}"/>
    <cellStyle name="dp*LabelItalicsLineAbove" xfId="249" xr:uid="{00000000-0005-0000-0000-0000F2000000}"/>
    <cellStyle name="dp*LabelLine" xfId="250" xr:uid="{00000000-0005-0000-0000-0000F3000000}"/>
    <cellStyle name="dp*Labels" xfId="251" xr:uid="{00000000-0005-0000-0000-0000F4000000}"/>
    <cellStyle name="dp*Normal" xfId="252" xr:uid="{00000000-0005-0000-0000-0000F5000000}"/>
    <cellStyle name="dp*NormalCurrency1Dec." xfId="253" xr:uid="{00000000-0005-0000-0000-0000F6000000}"/>
    <cellStyle name="dp*NormalCurrency2Dec." xfId="254" xr:uid="{00000000-0005-0000-0000-0000F7000000}"/>
    <cellStyle name="dp*Number%Italics" xfId="255" xr:uid="{00000000-0005-0000-0000-0000F8000000}"/>
    <cellStyle name="dp*Number%ItalicsLineAbove" xfId="256" xr:uid="{00000000-0005-0000-0000-0000F9000000}"/>
    <cellStyle name="dp*Number%ItalicsLineAbove 2" xfId="1026" xr:uid="{487D7DFF-1A7C-404B-810F-A5AA2B62C1F5}"/>
    <cellStyle name="dp*NumberCurrencyLine" xfId="257" xr:uid="{00000000-0005-0000-0000-0000FA000000}"/>
    <cellStyle name="dp*NumberGeneral" xfId="258" xr:uid="{00000000-0005-0000-0000-0000FB000000}"/>
    <cellStyle name="dp*NumberGeneral2Dec." xfId="259" xr:uid="{00000000-0005-0000-0000-0000FC000000}"/>
    <cellStyle name="dp*NumberLine" xfId="260" xr:uid="{00000000-0005-0000-0000-0000FD000000}"/>
    <cellStyle name="dp*NumberLine 2" xfId="1027" xr:uid="{326FA6BA-D166-4826-8ADB-39F0AC83FDF9}"/>
    <cellStyle name="dp*NumberLineEPS" xfId="261" xr:uid="{00000000-0005-0000-0000-0000FE000000}"/>
    <cellStyle name="dp*NumberLineEPS 2" xfId="1028" xr:uid="{C4038542-0EFC-42A1-8F1B-9A1759812806}"/>
    <cellStyle name="dp*NumberSpecial" xfId="262" xr:uid="{00000000-0005-0000-0000-0000FF000000}"/>
    <cellStyle name="dp*RatioX" xfId="263" xr:uid="{00000000-0005-0000-0000-000000010000}"/>
    <cellStyle name="dp*SeriesName" xfId="264" xr:uid="{00000000-0005-0000-0000-000001010000}"/>
    <cellStyle name="dp*SheetSubTitle" xfId="265" xr:uid="{00000000-0005-0000-0000-000002010000}"/>
    <cellStyle name="dp*SheetSubTitle 2" xfId="1029" xr:uid="{6EAD0769-5CBB-4CBD-926E-90BA9A054972}"/>
    <cellStyle name="dp*SheetTitle" xfId="266" xr:uid="{00000000-0005-0000-0000-000003010000}"/>
    <cellStyle name="dp*SubTitle" xfId="267" xr:uid="{00000000-0005-0000-0000-000004010000}"/>
    <cellStyle name="dp*SubTitle 2" xfId="1030" xr:uid="{362F2224-FC06-430C-B14B-099E564A184D}"/>
    <cellStyle name="dp*ThickLineAbove" xfId="268" xr:uid="{00000000-0005-0000-0000-000005010000}"/>
    <cellStyle name="dp*ThickLineBelow" xfId="269" xr:uid="{00000000-0005-0000-0000-000006010000}"/>
    <cellStyle name="dp*ThinLineAbove" xfId="270" xr:uid="{00000000-0005-0000-0000-000007010000}"/>
    <cellStyle name="dp*ThinLineAbove 2" xfId="1031" xr:uid="{988E6FE7-271F-4189-821B-D66A4FB75ECA}"/>
    <cellStyle name="dp*ThinLineBelow" xfId="271" xr:uid="{00000000-0005-0000-0000-000008010000}"/>
    <cellStyle name="dp*ThinLineBelow 2" xfId="1032" xr:uid="{2CA26221-7712-4E96-9991-31F668EBFA97}"/>
    <cellStyle name="dp*XAxisTitle" xfId="272" xr:uid="{00000000-0005-0000-0000-000009010000}"/>
    <cellStyle name="dp*Y2AxisTitle" xfId="273" xr:uid="{00000000-0005-0000-0000-00000A010000}"/>
    <cellStyle name="dp*YAxisTitle" xfId="274" xr:uid="{00000000-0005-0000-0000-00000B010000}"/>
    <cellStyle name="Draw lines around data in range" xfId="275" xr:uid="{00000000-0005-0000-0000-00000C010000}"/>
    <cellStyle name="Draw lines around data in range 2" xfId="1033" xr:uid="{24A86D68-7D5C-48B8-B811-4710EC0B1A6F}"/>
    <cellStyle name="Draw shadow and lines within range" xfId="276" xr:uid="{00000000-0005-0000-0000-00000D010000}"/>
    <cellStyle name="Draw shadow and lines within range 2" xfId="1034" xr:uid="{A7193BAD-1A66-4C29-80C4-3B6E80878E08}"/>
    <cellStyle name="Driver" xfId="277" xr:uid="{00000000-0005-0000-0000-00000E010000}"/>
    <cellStyle name="Enlarge title text, yellow on blue" xfId="278" xr:uid="{00000000-0005-0000-0000-00000F010000}"/>
    <cellStyle name="Enter Currency (0)" xfId="279" xr:uid="{00000000-0005-0000-0000-000010010000}"/>
    <cellStyle name="Enter Currency (2)" xfId="280" xr:uid="{00000000-0005-0000-0000-000011010000}"/>
    <cellStyle name="Enter Units (0)" xfId="281" xr:uid="{00000000-0005-0000-0000-000012010000}"/>
    <cellStyle name="Enter Units (1)" xfId="282" xr:uid="{00000000-0005-0000-0000-000013010000}"/>
    <cellStyle name="Enter Units (2)" xfId="283" xr:uid="{00000000-0005-0000-0000-000014010000}"/>
    <cellStyle name="Entered" xfId="284" xr:uid="{00000000-0005-0000-0000-000015010000}"/>
    <cellStyle name="eps" xfId="285" xr:uid="{00000000-0005-0000-0000-000016010000}"/>
    <cellStyle name="eps$" xfId="286" xr:uid="{00000000-0005-0000-0000-000017010000}"/>
    <cellStyle name="eps$A" xfId="287" xr:uid="{00000000-0005-0000-0000-000018010000}"/>
    <cellStyle name="eps$E" xfId="288" xr:uid="{00000000-0005-0000-0000-000019010000}"/>
    <cellStyle name="eps_AVP" xfId="289" xr:uid="{00000000-0005-0000-0000-00001A010000}"/>
    <cellStyle name="epsA" xfId="290" xr:uid="{00000000-0005-0000-0000-00001B010000}"/>
    <cellStyle name="epsE" xfId="291" xr:uid="{00000000-0005-0000-0000-00001C010000}"/>
    <cellStyle name="Euro" xfId="292" xr:uid="{00000000-0005-0000-0000-00001D010000}"/>
    <cellStyle name="F" xfId="293" xr:uid="{00000000-0005-0000-0000-00001E010000}"/>
    <cellStyle name="Fixed" xfId="294" xr:uid="{00000000-0005-0000-0000-00001F010000}"/>
    <cellStyle name="Fixed4 - Style4" xfId="295" xr:uid="{00000000-0005-0000-0000-000020010000}"/>
    <cellStyle name="Footnote" xfId="296" xr:uid="{00000000-0005-0000-0000-000021010000}"/>
    <cellStyle name="Format a column of totals" xfId="297" xr:uid="{00000000-0005-0000-0000-000022010000}"/>
    <cellStyle name="Format a row of totals" xfId="298" xr:uid="{00000000-0005-0000-0000-000023010000}"/>
    <cellStyle name="Format a row of totals 2" xfId="1035" xr:uid="{73B3EF92-D87E-4A82-A381-52F84BA3CC75}"/>
    <cellStyle name="Format text as bold, black on yellow" xfId="299" xr:uid="{00000000-0005-0000-0000-000024010000}"/>
    <cellStyle name="Format text as bold, black on yellow 2" xfId="1036" xr:uid="{D36D929A-A4E7-4144-9334-43A0D3EA35AE}"/>
    <cellStyle name="fy_eps$" xfId="300" xr:uid="{00000000-0005-0000-0000-000025010000}"/>
    <cellStyle name="g_rate" xfId="301" xr:uid="{00000000-0005-0000-0000-000026010000}"/>
    <cellStyle name="g_rate_AVP" xfId="302" xr:uid="{00000000-0005-0000-0000-000027010000}"/>
    <cellStyle name="g_rate_AVP_Graphic Depiction - NO DEV" xfId="303" xr:uid="{00000000-0005-0000-0000-000028010000}"/>
    <cellStyle name="g_rate_AVP_THEsumPage (2)" xfId="304" xr:uid="{00000000-0005-0000-0000-000029010000}"/>
    <cellStyle name="g_rate_CLP One-pager" xfId="305" xr:uid="{00000000-0005-0000-0000-00002A010000}"/>
    <cellStyle name="g_rate_CompSheet" xfId="306" xr:uid="{00000000-0005-0000-0000-00002B010000}"/>
    <cellStyle name="g_rate_crr.dcf2" xfId="307" xr:uid="{00000000-0005-0000-0000-00002C010000}"/>
    <cellStyle name="g_rate_Disc Analysis" xfId="308" xr:uid="{00000000-0005-0000-0000-00002D010000}"/>
    <cellStyle name="g_rate_Disc Analysis_CompSheet" xfId="309" xr:uid="{00000000-0005-0000-0000-00002E010000}"/>
    <cellStyle name="g_rate_Disc Analysis_THEsumPage (2)" xfId="310" xr:uid="{00000000-0005-0000-0000-00002F010000}"/>
    <cellStyle name="g_rate_Fairness Opinion Valuation 4-23a.xls Chart 1" xfId="311" xr:uid="{00000000-0005-0000-0000-000030010000}"/>
    <cellStyle name="g_rate_LP Chart" xfId="312" xr:uid="{00000000-0005-0000-0000-000031010000}"/>
    <cellStyle name="g_rate_LP Chart_THEsumPage (2)" xfId="313" xr:uid="{00000000-0005-0000-0000-000032010000}"/>
    <cellStyle name="g_rate_Merg Cons" xfId="314" xr:uid="{00000000-0005-0000-0000-000033010000}"/>
    <cellStyle name="g_rate_Merg Cons_CompSheet" xfId="315" xr:uid="{00000000-0005-0000-0000-000034010000}"/>
    <cellStyle name="g_rate_Merg Cons_THEsumPage (2)" xfId="316" xr:uid="{00000000-0005-0000-0000-000035010000}"/>
    <cellStyle name="g_rate_PowerValuation.xls Chart 21" xfId="317" xr:uid="{00000000-0005-0000-0000-000036010000}"/>
    <cellStyle name="g_rate_PowerValuation.xls Chart 28" xfId="318" xr:uid="{00000000-0005-0000-0000-000037010000}"/>
    <cellStyle name="g_rate_Proj10" xfId="319" xr:uid="{00000000-0005-0000-0000-000038010000}"/>
    <cellStyle name="g_rate_Proj10_AVP" xfId="320" xr:uid="{00000000-0005-0000-0000-000039010000}"/>
    <cellStyle name="g_rate_Proj10_AVP_Graphic Depiction - NO DEV" xfId="321" xr:uid="{00000000-0005-0000-0000-00003A010000}"/>
    <cellStyle name="g_rate_Proj10_AVP_THEsumPage (2)" xfId="322" xr:uid="{00000000-0005-0000-0000-00003B010000}"/>
    <cellStyle name="g_rate_Proj10_CompSheet" xfId="323" xr:uid="{00000000-0005-0000-0000-00003C010000}"/>
    <cellStyle name="g_rate_Proj10_Disc Analysis" xfId="324" xr:uid="{00000000-0005-0000-0000-00003D010000}"/>
    <cellStyle name="g_rate_Proj10_Disc Analysis_CompSheet" xfId="325" xr:uid="{00000000-0005-0000-0000-00003E010000}"/>
    <cellStyle name="g_rate_Proj10_Disc Analysis_THEsumPage (2)" xfId="326" xr:uid="{00000000-0005-0000-0000-00003F010000}"/>
    <cellStyle name="g_rate_Proj10_Fairness Opinion Valuation 4-23a.xls Chart 1" xfId="327" xr:uid="{00000000-0005-0000-0000-000040010000}"/>
    <cellStyle name="g_rate_Proj10_LP Chart" xfId="328" xr:uid="{00000000-0005-0000-0000-000041010000}"/>
    <cellStyle name="g_rate_Proj10_LP Chart_THEsumPage (2)" xfId="329" xr:uid="{00000000-0005-0000-0000-000042010000}"/>
    <cellStyle name="g_rate_Proj10_Merg Cons" xfId="330" xr:uid="{00000000-0005-0000-0000-000043010000}"/>
    <cellStyle name="g_rate_Proj10_Merg Cons_CompSheet" xfId="331" xr:uid="{00000000-0005-0000-0000-000044010000}"/>
    <cellStyle name="g_rate_Proj10_Merg Cons_THEsumPage (2)" xfId="332" xr:uid="{00000000-0005-0000-0000-000045010000}"/>
    <cellStyle name="g_rate_Proj10_PowerValuation.xls Chart 21" xfId="333" xr:uid="{00000000-0005-0000-0000-000046010000}"/>
    <cellStyle name="g_rate_Proj10_PowerValuation.xls Chart 28" xfId="334" xr:uid="{00000000-0005-0000-0000-000047010000}"/>
    <cellStyle name="g_rate_Proj10_Sensitivity" xfId="335" xr:uid="{00000000-0005-0000-0000-000048010000}"/>
    <cellStyle name="g_rate_Proj10_Sensitivity_CompSheet" xfId="336" xr:uid="{00000000-0005-0000-0000-000049010000}"/>
    <cellStyle name="g_rate_Proj10_Sensitivity_THEsumPage (2)" xfId="337" xr:uid="{00000000-0005-0000-0000-00004A010000}"/>
    <cellStyle name="g_rate_Proj10_show-hold" xfId="338" xr:uid="{00000000-0005-0000-0000-00004B010000}"/>
    <cellStyle name="g_rate_Proj10_show-hold_Graphic Depiction - NO DEV" xfId="339" xr:uid="{00000000-0005-0000-0000-00004C010000}"/>
    <cellStyle name="g_rate_Proj10_show-hold_THEsumPage (2)" xfId="340" xr:uid="{00000000-0005-0000-0000-00004D010000}"/>
    <cellStyle name="g_rate_Proj10_THEsumPage (2)" xfId="341" xr:uid="{00000000-0005-0000-0000-00004E010000}"/>
    <cellStyle name="g_rate_Proj10_Valuation summaries" xfId="342" xr:uid="{00000000-0005-0000-0000-00004F010000}"/>
    <cellStyle name="g_rate_Proj10_WACC-CableCar" xfId="343" xr:uid="{00000000-0005-0000-0000-000050010000}"/>
    <cellStyle name="g_rate_Proj10_WACC-CableCar_THEsumPage (2)" xfId="344" xr:uid="{00000000-0005-0000-0000-000051010000}"/>
    <cellStyle name="g_rate_Proj10_WACC-RAD (2)" xfId="345" xr:uid="{00000000-0005-0000-0000-000052010000}"/>
    <cellStyle name="g_rate_Proj10_WACC-RAD (2)_THEsumPage (2)" xfId="346" xr:uid="{00000000-0005-0000-0000-000053010000}"/>
    <cellStyle name="g_rate_Sensitivity" xfId="347" xr:uid="{00000000-0005-0000-0000-000054010000}"/>
    <cellStyle name="g_rate_Sensitivity_CompSheet" xfId="348" xr:uid="{00000000-0005-0000-0000-000055010000}"/>
    <cellStyle name="g_rate_Sensitivity_THEsumPage (2)" xfId="349" xr:uid="{00000000-0005-0000-0000-000056010000}"/>
    <cellStyle name="g_rate_show-hold" xfId="350" xr:uid="{00000000-0005-0000-0000-000057010000}"/>
    <cellStyle name="g_rate_show-hold_CompSheet" xfId="351" xr:uid="{00000000-0005-0000-0000-000058010000}"/>
    <cellStyle name="g_rate_show-hold_THEsumPage (2)" xfId="352" xr:uid="{00000000-0005-0000-0000-000059010000}"/>
    <cellStyle name="g_rate_Small Cap Comps 6.17 v.2" xfId="353" xr:uid="{00000000-0005-0000-0000-00005A010000}"/>
    <cellStyle name="g_rate_THEsumPage (2)" xfId="354" xr:uid="{00000000-0005-0000-0000-00005B010000}"/>
    <cellStyle name="g_rate_Valuation 12.02.024" xfId="355" xr:uid="{00000000-0005-0000-0000-00005C010000}"/>
    <cellStyle name="g_rate_Valuation summaries" xfId="356" xr:uid="{00000000-0005-0000-0000-00005D010000}"/>
    <cellStyle name="g_rate_vaulationsv5" xfId="357" xr:uid="{00000000-0005-0000-0000-00005E010000}"/>
    <cellStyle name="g_rate_WACC-CableCar" xfId="358" xr:uid="{00000000-0005-0000-0000-00005F010000}"/>
    <cellStyle name="g_rate_WACC-CableCar_THEsumPage (2)" xfId="359" xr:uid="{00000000-0005-0000-0000-000060010000}"/>
    <cellStyle name="g_rate_WACC-RAD (2)" xfId="360" xr:uid="{00000000-0005-0000-0000-000061010000}"/>
    <cellStyle name="g_rate_WACC-RAD (2)_THEsumPage (2)" xfId="361" xr:uid="{00000000-0005-0000-0000-000062010000}"/>
    <cellStyle name="Grey" xfId="362" xr:uid="{00000000-0005-0000-0000-000063010000}"/>
    <cellStyle name="Hard Percent" xfId="363" xr:uid="{00000000-0005-0000-0000-000064010000}"/>
    <cellStyle name="Head 1" xfId="364" xr:uid="{00000000-0005-0000-0000-000065010000}"/>
    <cellStyle name="head1" xfId="365" xr:uid="{00000000-0005-0000-0000-000066010000}"/>
    <cellStyle name="head2" xfId="366" xr:uid="{00000000-0005-0000-0000-000067010000}"/>
    <cellStyle name="Header" xfId="367" xr:uid="{00000000-0005-0000-0000-000068010000}"/>
    <cellStyle name="Header1" xfId="368" xr:uid="{00000000-0005-0000-0000-000069010000}"/>
    <cellStyle name="Header2" xfId="369" xr:uid="{00000000-0005-0000-0000-00006A010000}"/>
    <cellStyle name="Heading Left" xfId="370" xr:uid="{00000000-0005-0000-0000-00006B010000}"/>
    <cellStyle name="Heading Right" xfId="371" xr:uid="{00000000-0005-0000-0000-00006C010000}"/>
    <cellStyle name="Heading1" xfId="372" xr:uid="{00000000-0005-0000-0000-00006D010000}"/>
    <cellStyle name="Heading2" xfId="373" xr:uid="{00000000-0005-0000-0000-00006E010000}"/>
    <cellStyle name="HeadingS" xfId="374" xr:uid="{00000000-0005-0000-0000-00006F010000}"/>
    <cellStyle name="HEADINGSTOP" xfId="375" xr:uid="{00000000-0005-0000-0000-000070010000}"/>
    <cellStyle name="helv narrow 8" xfId="376" xr:uid="{00000000-0005-0000-0000-000071010000}"/>
    <cellStyle name="Hide" xfId="377" xr:uid="{00000000-0005-0000-0000-000072010000}"/>
    <cellStyle name="Hyperlink 2" xfId="1014" xr:uid="{55F60528-CD5D-4BEE-951E-0DDAC70D8F1B}"/>
    <cellStyle name="Hyperlink 3" xfId="1016" xr:uid="{0AAC5A29-51B9-46E5-A4AD-61435858E507}"/>
    <cellStyle name="Input [yellow]" xfId="378" xr:uid="{00000000-0005-0000-0000-000073010000}"/>
    <cellStyle name="InputCell" xfId="379" xr:uid="{00000000-0005-0000-0000-000074010000}"/>
    <cellStyle name="Inputs" xfId="380" xr:uid="{00000000-0005-0000-0000-000075010000}"/>
    <cellStyle name="Italics" xfId="381" xr:uid="{00000000-0005-0000-0000-000076010000}"/>
    <cellStyle name="Lable8Left" xfId="382" xr:uid="{00000000-0005-0000-0000-000077010000}"/>
    <cellStyle name="Link Currency (0)" xfId="383" xr:uid="{00000000-0005-0000-0000-000078010000}"/>
    <cellStyle name="Link Currency (2)" xfId="384" xr:uid="{00000000-0005-0000-0000-000079010000}"/>
    <cellStyle name="Link Units (0)" xfId="385" xr:uid="{00000000-0005-0000-0000-00007A010000}"/>
    <cellStyle name="Link Units (1)" xfId="386" xr:uid="{00000000-0005-0000-0000-00007B010000}"/>
    <cellStyle name="Link Units (2)" xfId="387" xr:uid="{00000000-0005-0000-0000-00007C010000}"/>
    <cellStyle name="Linked" xfId="388" xr:uid="{00000000-0005-0000-0000-00007D010000}"/>
    <cellStyle name="m" xfId="389" xr:uid="{00000000-0005-0000-0000-00007E010000}"/>
    <cellStyle name="m$" xfId="390" xr:uid="{00000000-0005-0000-0000-00007F010000}"/>
    <cellStyle name="m_AVP" xfId="391" xr:uid="{00000000-0005-0000-0000-000080010000}"/>
    <cellStyle name="m_CLP One-pager" xfId="392" xr:uid="{00000000-0005-0000-0000-000081010000}"/>
    <cellStyle name="m_crr.dcf2" xfId="393" xr:uid="{00000000-0005-0000-0000-000082010000}"/>
    <cellStyle name="m_crr.dcf2_CBM Valuation Analysis v.9" xfId="394" xr:uid="{00000000-0005-0000-0000-000083010000}"/>
    <cellStyle name="m_Disc Analysis" xfId="395" xr:uid="{00000000-0005-0000-0000-000084010000}"/>
    <cellStyle name="m_Large Cap Comps 11.15.02" xfId="396" xr:uid="{00000000-0005-0000-0000-000085010000}"/>
    <cellStyle name="m_Large Cap Comps 9.13.02" xfId="397" xr:uid="{00000000-0005-0000-0000-000086010000}"/>
    <cellStyle name="m_Large Cap Comps_8.5.02.xls Chart 2" xfId="398" xr:uid="{00000000-0005-0000-0000-000087010000}"/>
    <cellStyle name="m_LP Chart" xfId="399" xr:uid="{00000000-0005-0000-0000-000088010000}"/>
    <cellStyle name="m_LP Chart_CBM Valuation Analysis v.9" xfId="400" xr:uid="{00000000-0005-0000-0000-000089010000}"/>
    <cellStyle name="m_Merg Cons" xfId="401" xr:uid="{00000000-0005-0000-0000-00008A010000}"/>
    <cellStyle name="m_Proj10" xfId="402" xr:uid="{00000000-0005-0000-0000-00008B010000}"/>
    <cellStyle name="m_Proj10_AVP" xfId="403" xr:uid="{00000000-0005-0000-0000-00008C010000}"/>
    <cellStyle name="m_Proj10_CBM Valuation Analysis v.9" xfId="404" xr:uid="{00000000-0005-0000-0000-00008D010000}"/>
    <cellStyle name="m_Proj10_Disc Analysis" xfId="405" xr:uid="{00000000-0005-0000-0000-00008E010000}"/>
    <cellStyle name="m_Proj10_LP Chart" xfId="406" xr:uid="{00000000-0005-0000-0000-00008F010000}"/>
    <cellStyle name="m_Proj10_LP Chart_CBM Valuation Analysis v.9" xfId="407" xr:uid="{00000000-0005-0000-0000-000090010000}"/>
    <cellStyle name="m_Proj10_Merg Cons" xfId="408" xr:uid="{00000000-0005-0000-0000-000091010000}"/>
    <cellStyle name="m_Proj10_Sensitivity" xfId="409" xr:uid="{00000000-0005-0000-0000-000092010000}"/>
    <cellStyle name="m_Proj10_show-hold" xfId="410" xr:uid="{00000000-0005-0000-0000-000093010000}"/>
    <cellStyle name="m_Proj10_WACC-CableCar" xfId="411" xr:uid="{00000000-0005-0000-0000-000094010000}"/>
    <cellStyle name="m_Proj10_WACC-RAD (2)" xfId="412" xr:uid="{00000000-0005-0000-0000-000095010000}"/>
    <cellStyle name="m_Proj10_WACC-RAD (2)_CBM Valuation Analysis v.9" xfId="413" xr:uid="{00000000-0005-0000-0000-000096010000}"/>
    <cellStyle name="m_Sensitivity" xfId="414" xr:uid="{00000000-0005-0000-0000-000097010000}"/>
    <cellStyle name="m_show-hold" xfId="415" xr:uid="{00000000-0005-0000-0000-000098010000}"/>
    <cellStyle name="m_Small Cap Comps 6.17 v.2" xfId="416" xr:uid="{00000000-0005-0000-0000-000099010000}"/>
    <cellStyle name="m_Small Cap Comps_8.5.02" xfId="417" xr:uid="{00000000-0005-0000-0000-00009A010000}"/>
    <cellStyle name="m_Valuation 12.02.024" xfId="418" xr:uid="{00000000-0005-0000-0000-00009B010000}"/>
    <cellStyle name="m_vaulationsv5" xfId="419" xr:uid="{00000000-0005-0000-0000-00009C010000}"/>
    <cellStyle name="m_WACC-CableCar" xfId="420" xr:uid="{00000000-0005-0000-0000-00009D010000}"/>
    <cellStyle name="m_WACC-RAD (2)" xfId="421" xr:uid="{00000000-0005-0000-0000-00009E010000}"/>
    <cellStyle name="m_WACC-RAD (2)_CBM Valuation Analysis v.9" xfId="422" xr:uid="{00000000-0005-0000-0000-00009F010000}"/>
    <cellStyle name="MainData" xfId="423" xr:uid="{00000000-0005-0000-0000-0000A0010000}"/>
    <cellStyle name="MajorTotal" xfId="424" xr:uid="{00000000-0005-0000-0000-0000A1010000}"/>
    <cellStyle name="MajorTotal 2" xfId="1037" xr:uid="{1DA409B3-A721-472A-B9BF-42B4FBF2301D}"/>
    <cellStyle name="Millares_16Flujo 05-10 Dic 05" xfId="425" xr:uid="{00000000-0005-0000-0000-0000A2010000}"/>
    <cellStyle name="mm" xfId="426" xr:uid="{00000000-0005-0000-0000-0000A3010000}"/>
    <cellStyle name="mm$" xfId="427" xr:uid="{00000000-0005-0000-0000-0000A4010000}"/>
    <cellStyle name="mm_AVP" xfId="428" xr:uid="{00000000-0005-0000-0000-0000A5010000}"/>
    <cellStyle name="Moneda_Bofa-Northern Original mayo 05" xfId="429" xr:uid="{00000000-0005-0000-0000-0000A6010000}"/>
    <cellStyle name="MSectionHeadings" xfId="430" xr:uid="{00000000-0005-0000-0000-0000A7010000}"/>
    <cellStyle name="Multiple" xfId="431" xr:uid="{00000000-0005-0000-0000-0000A8010000}"/>
    <cellStyle name="Multiple []" xfId="432" xr:uid="{00000000-0005-0000-0000-0000A9010000}"/>
    <cellStyle name="Multiple [0]" xfId="433" xr:uid="{00000000-0005-0000-0000-0000AA010000}"/>
    <cellStyle name="Multiple [0] []" xfId="434" xr:uid="{00000000-0005-0000-0000-0000AB010000}"/>
    <cellStyle name="Multiple [1]" xfId="435" xr:uid="{00000000-0005-0000-0000-0000AC010000}"/>
    <cellStyle name="Multiple [1] []" xfId="436" xr:uid="{00000000-0005-0000-0000-0000AD010000}"/>
    <cellStyle name="Multiple_2004-2005 Rock Market Values1" xfId="437" xr:uid="{00000000-0005-0000-0000-0000AE010000}"/>
    <cellStyle name="no dec" xfId="438" xr:uid="{00000000-0005-0000-0000-0000AF010000}"/>
    <cellStyle name="Norm?l_D_TR_OI" xfId="439" xr:uid="{00000000-0005-0000-0000-0000B0010000}"/>
    <cellStyle name="norma" xfId="440" xr:uid="{00000000-0005-0000-0000-0000B1010000}"/>
    <cellStyle name="Normal" xfId="0" builtinId="0"/>
    <cellStyle name="Normal - Style1" xfId="441" xr:uid="{00000000-0005-0000-0000-0000B3010000}"/>
    <cellStyle name="Normal - Style2" xfId="442" xr:uid="{00000000-0005-0000-0000-0000B4010000}"/>
    <cellStyle name="Normal - Style3" xfId="443" xr:uid="{00000000-0005-0000-0000-0000B5010000}"/>
    <cellStyle name="Normal - Style4" xfId="444" xr:uid="{00000000-0005-0000-0000-0000B6010000}"/>
    <cellStyle name="Normal - Style5" xfId="445" xr:uid="{00000000-0005-0000-0000-0000B7010000}"/>
    <cellStyle name="Normal - Style6" xfId="446" xr:uid="{00000000-0005-0000-0000-0000B8010000}"/>
    <cellStyle name="Normal - Style7" xfId="447" xr:uid="{00000000-0005-0000-0000-0000B9010000}"/>
    <cellStyle name="Normal - Style8" xfId="448" xr:uid="{00000000-0005-0000-0000-0000BA010000}"/>
    <cellStyle name="Normal 10" xfId="449" xr:uid="{00000000-0005-0000-0000-0000BB010000}"/>
    <cellStyle name="Normal 11" xfId="450" xr:uid="{00000000-0005-0000-0000-0000BC010000}"/>
    <cellStyle name="Normal 12" xfId="451" xr:uid="{00000000-0005-0000-0000-0000BD010000}"/>
    <cellStyle name="Normal 13" xfId="452" xr:uid="{00000000-0005-0000-0000-0000BE010000}"/>
    <cellStyle name="Normal 14" xfId="453" xr:uid="{00000000-0005-0000-0000-0000BF010000}"/>
    <cellStyle name="Normal 15" xfId="454" xr:uid="{00000000-0005-0000-0000-0000C0010000}"/>
    <cellStyle name="Normal 16" xfId="455" xr:uid="{00000000-0005-0000-0000-0000C1010000}"/>
    <cellStyle name="Normal 17" xfId="456" xr:uid="{00000000-0005-0000-0000-0000C2010000}"/>
    <cellStyle name="Normal 18" xfId="457" xr:uid="{00000000-0005-0000-0000-0000C3010000}"/>
    <cellStyle name="Normal 19" xfId="458" xr:uid="{00000000-0005-0000-0000-0000C4010000}"/>
    <cellStyle name="Normal 2" xfId="4" xr:uid="{00000000-0005-0000-0000-0000C5010000}"/>
    <cellStyle name="Normal 2 2" xfId="459" xr:uid="{00000000-0005-0000-0000-0000C6010000}"/>
    <cellStyle name="Normal 2_2009 Immediate Dev Cost Worksheet 7-28-09 (3)" xfId="460" xr:uid="{00000000-0005-0000-0000-0000C7010000}"/>
    <cellStyle name="Normal 20" xfId="461" xr:uid="{00000000-0005-0000-0000-0000C8010000}"/>
    <cellStyle name="Normal 21" xfId="462" xr:uid="{00000000-0005-0000-0000-0000C9010000}"/>
    <cellStyle name="Normal 22" xfId="463" xr:uid="{00000000-0005-0000-0000-0000CA010000}"/>
    <cellStyle name="Normal 23" xfId="464" xr:uid="{00000000-0005-0000-0000-0000CB010000}"/>
    <cellStyle name="Normal 24" xfId="465" xr:uid="{00000000-0005-0000-0000-0000CC010000}"/>
    <cellStyle name="Normal 25" xfId="466" xr:uid="{00000000-0005-0000-0000-0000CD010000}"/>
    <cellStyle name="Normal 26" xfId="467" xr:uid="{00000000-0005-0000-0000-0000CE010000}"/>
    <cellStyle name="Normal 27" xfId="468" xr:uid="{00000000-0005-0000-0000-0000CF010000}"/>
    <cellStyle name="Normal 28" xfId="469" xr:uid="{00000000-0005-0000-0000-0000D0010000}"/>
    <cellStyle name="Normal 29" xfId="470" xr:uid="{00000000-0005-0000-0000-0000D1010000}"/>
    <cellStyle name="Normal 3" xfId="471" xr:uid="{00000000-0005-0000-0000-0000D2010000}"/>
    <cellStyle name="Normal 3 2" xfId="472" xr:uid="{00000000-0005-0000-0000-0000D3010000}"/>
    <cellStyle name="Normal 3 2 2" xfId="473" xr:uid="{00000000-0005-0000-0000-0000D4010000}"/>
    <cellStyle name="Normal 3 2_2009 Master rev 9-3" xfId="474" xr:uid="{00000000-0005-0000-0000-0000D5010000}"/>
    <cellStyle name="Normal 3_YC - MSGA Draft detail 20090630 rev7" xfId="475" xr:uid="{00000000-0005-0000-0000-0000D6010000}"/>
    <cellStyle name="Normal 30" xfId="476" xr:uid="{00000000-0005-0000-0000-0000D7010000}"/>
    <cellStyle name="Normal 31" xfId="477" xr:uid="{00000000-0005-0000-0000-0000D8010000}"/>
    <cellStyle name="Normal 32" xfId="478" xr:uid="{00000000-0005-0000-0000-0000D9010000}"/>
    <cellStyle name="Normal 33" xfId="479" xr:uid="{00000000-0005-0000-0000-0000DA010000}"/>
    <cellStyle name="Normal 34" xfId="480" xr:uid="{00000000-0005-0000-0000-0000DB010000}"/>
    <cellStyle name="Normal 35" xfId="481" xr:uid="{00000000-0005-0000-0000-0000DC010000}"/>
    <cellStyle name="Normal 36" xfId="482" xr:uid="{00000000-0005-0000-0000-0000DD010000}"/>
    <cellStyle name="Normal 37" xfId="483" xr:uid="{00000000-0005-0000-0000-0000DE010000}"/>
    <cellStyle name="Normal 38" xfId="484" xr:uid="{00000000-0005-0000-0000-0000DF010000}"/>
    <cellStyle name="Normal 39" xfId="485" xr:uid="{00000000-0005-0000-0000-0000E0010000}"/>
    <cellStyle name="Normal 4" xfId="486" xr:uid="{00000000-0005-0000-0000-0000E1010000}"/>
    <cellStyle name="Normal 40" xfId="487" xr:uid="{00000000-0005-0000-0000-0000E2010000}"/>
    <cellStyle name="Normal 41" xfId="488" xr:uid="{00000000-0005-0000-0000-0000E3010000}"/>
    <cellStyle name="Normal 42" xfId="489" xr:uid="{00000000-0005-0000-0000-0000E4010000}"/>
    <cellStyle name="Normal 43" xfId="490" xr:uid="{00000000-0005-0000-0000-0000E5010000}"/>
    <cellStyle name="Normal 44" xfId="491" xr:uid="{00000000-0005-0000-0000-0000E6010000}"/>
    <cellStyle name="Normal 45" xfId="492" xr:uid="{00000000-0005-0000-0000-0000E7010000}"/>
    <cellStyle name="Normal 46" xfId="493" xr:uid="{00000000-0005-0000-0000-0000E8010000}"/>
    <cellStyle name="Normal 47" xfId="494" xr:uid="{00000000-0005-0000-0000-0000E9010000}"/>
    <cellStyle name="Normal 48" xfId="495" xr:uid="{00000000-0005-0000-0000-0000EA010000}"/>
    <cellStyle name="Normal 49" xfId="496" xr:uid="{00000000-0005-0000-0000-0000EB010000}"/>
    <cellStyle name="Normal 5" xfId="497" xr:uid="{00000000-0005-0000-0000-0000EC010000}"/>
    <cellStyle name="Normal 50" xfId="498" xr:uid="{00000000-0005-0000-0000-0000ED010000}"/>
    <cellStyle name="Normal 51" xfId="499" xr:uid="{00000000-0005-0000-0000-0000EE010000}"/>
    <cellStyle name="Normal 52" xfId="500" xr:uid="{00000000-0005-0000-0000-0000EF010000}"/>
    <cellStyle name="Normal 53" xfId="501" xr:uid="{00000000-0005-0000-0000-0000F0010000}"/>
    <cellStyle name="Normal 54" xfId="502" xr:uid="{00000000-0005-0000-0000-0000F1010000}"/>
    <cellStyle name="Normal 55" xfId="503" xr:uid="{00000000-0005-0000-0000-0000F2010000}"/>
    <cellStyle name="Normal 56" xfId="1013" xr:uid="{A12FFAE8-5EF7-4461-984B-6B0A3D96F633}"/>
    <cellStyle name="Normal 57" xfId="1015" xr:uid="{B86C8CD6-C4C1-4F8A-B52B-E400B64BA244}"/>
    <cellStyle name="Normal 58" xfId="1017" xr:uid="{5A90AACE-85FC-4943-9BCD-B92672179CAD}"/>
    <cellStyle name="Normal 58 2" xfId="1157" xr:uid="{FBA6B0D3-282A-42C2-A5F0-76293EB74E76}"/>
    <cellStyle name="Normal 59" xfId="1018" xr:uid="{6224006B-F4EA-46C8-93EC-220558C81846}"/>
    <cellStyle name="Normal 6" xfId="504" xr:uid="{00000000-0005-0000-0000-0000F3010000}"/>
    <cellStyle name="Normal 7" xfId="505" xr:uid="{00000000-0005-0000-0000-0000F4010000}"/>
    <cellStyle name="Normal 8" xfId="506" xr:uid="{00000000-0005-0000-0000-0000F5010000}"/>
    <cellStyle name="Normal 8 2" xfId="1038" xr:uid="{C0462226-155E-4B55-901D-E67F148D9229}"/>
    <cellStyle name="Normal 9" xfId="507" xr:uid="{00000000-0005-0000-0000-0000F6010000}"/>
    <cellStyle name="Normal_Georgetown Model (2005.10.04)" xfId="8" xr:uid="{00000000-0005-0000-0000-0000F7010000}"/>
    <cellStyle name="Normal_Georgetown Model (2005.11.01)" xfId="5" xr:uid="{00000000-0005-0000-0000-0000F8010000}"/>
    <cellStyle name="Normal_Model.AspenGolfClub.10.26.98" xfId="6" xr:uid="{00000000-0005-0000-0000-0000F9010000}"/>
    <cellStyle name="Normal_Rockpoint IRR" xfId="7" xr:uid="{00000000-0005-0000-0000-0000FA010000}"/>
    <cellStyle name="NormalNumber%" xfId="508" xr:uid="{00000000-0005-0000-0000-0000FB010000}"/>
    <cellStyle name="NormalOPrint_Module_E (2)" xfId="509" xr:uid="{00000000-0005-0000-0000-0000FC010000}"/>
    <cellStyle name="Norm伀l_D_TR_OI" xfId="510" xr:uid="{00000000-0005-0000-0000-0000FD010000}"/>
    <cellStyle name="Num0Un" xfId="511" xr:uid="{00000000-0005-0000-0000-0000FE010000}"/>
    <cellStyle name="Num1" xfId="512" xr:uid="{00000000-0005-0000-0000-0000FF010000}"/>
    <cellStyle name="Num1Blue" xfId="513" xr:uid="{00000000-0005-0000-0000-000000020000}"/>
    <cellStyle name="Num2" xfId="514" xr:uid="{00000000-0005-0000-0000-000001020000}"/>
    <cellStyle name="Num2Un" xfId="515" xr:uid="{00000000-0005-0000-0000-000002020000}"/>
    <cellStyle name="Number" xfId="516" xr:uid="{00000000-0005-0000-0000-000003020000}"/>
    <cellStyle name="OddBodyShade" xfId="517" xr:uid="{00000000-0005-0000-0000-000004020000}"/>
    <cellStyle name="Page Heading" xfId="518" xr:uid="{00000000-0005-0000-0000-000005020000}"/>
    <cellStyle name="Page Heading Large" xfId="519" xr:uid="{00000000-0005-0000-0000-000006020000}"/>
    <cellStyle name="Page Heading Small" xfId="520" xr:uid="{00000000-0005-0000-0000-000007020000}"/>
    <cellStyle name="Page Number" xfId="521" xr:uid="{00000000-0005-0000-0000-000008020000}"/>
    <cellStyle name="Palatino" xfId="522" xr:uid="{00000000-0005-0000-0000-000009020000}"/>
    <cellStyle name="patterns" xfId="523" xr:uid="{00000000-0005-0000-0000-00000A020000}"/>
    <cellStyle name="PB Table Heading" xfId="524" xr:uid="{00000000-0005-0000-0000-00000B020000}"/>
    <cellStyle name="PB Table Highlight1" xfId="525" xr:uid="{00000000-0005-0000-0000-00000C020000}"/>
    <cellStyle name="PB Table Highlight2" xfId="526" xr:uid="{00000000-0005-0000-0000-00000D020000}"/>
    <cellStyle name="PB Table Highlight3" xfId="527" xr:uid="{00000000-0005-0000-0000-00000E020000}"/>
    <cellStyle name="PB Table Standard Row" xfId="528" xr:uid="{00000000-0005-0000-0000-00000F020000}"/>
    <cellStyle name="PB Table Standard Row 2" xfId="1039" xr:uid="{74DFC9E4-A2A1-455C-91A3-0EA1B983F956}"/>
    <cellStyle name="PB Table Subtotal Row" xfId="529" xr:uid="{00000000-0005-0000-0000-000010020000}"/>
    <cellStyle name="PB Table Total Row" xfId="530" xr:uid="{00000000-0005-0000-0000-000011020000}"/>
    <cellStyle name="pb_page_heading_LS" xfId="531" xr:uid="{00000000-0005-0000-0000-000012020000}"/>
    <cellStyle name="pe" xfId="532" xr:uid="{00000000-0005-0000-0000-000013020000}"/>
    <cellStyle name="PEG" xfId="533" xr:uid="{00000000-0005-0000-0000-000014020000}"/>
    <cellStyle name="per.style" xfId="534" xr:uid="{00000000-0005-0000-0000-000015020000}"/>
    <cellStyle name="Perc1" xfId="535" xr:uid="{00000000-0005-0000-0000-000016020000}"/>
    <cellStyle name="Percen - Style1" xfId="536" xr:uid="{00000000-0005-0000-0000-000017020000}"/>
    <cellStyle name="Percen - Style3" xfId="537" xr:uid="{00000000-0005-0000-0000-000018020000}"/>
    <cellStyle name="Percent" xfId="3" builtinId="5"/>
    <cellStyle name="Percent (0)" xfId="538" xr:uid="{00000000-0005-0000-0000-00001A020000}"/>
    <cellStyle name="Percent (2)" xfId="539" xr:uid="{00000000-0005-0000-0000-00001B020000}"/>
    <cellStyle name="Percent [0]" xfId="540" xr:uid="{00000000-0005-0000-0000-00001C020000}"/>
    <cellStyle name="Percent [00]" xfId="541" xr:uid="{00000000-0005-0000-0000-00001D020000}"/>
    <cellStyle name="Percent [1]" xfId="542" xr:uid="{00000000-0005-0000-0000-00001E020000}"/>
    <cellStyle name="Percent [2]" xfId="543" xr:uid="{00000000-0005-0000-0000-00001F020000}"/>
    <cellStyle name="percent 1 decimal" xfId="544" xr:uid="{00000000-0005-0000-0000-000020020000}"/>
    <cellStyle name="Percent 2" xfId="545" xr:uid="{00000000-0005-0000-0000-000021020000}"/>
    <cellStyle name="percent 2 decimal" xfId="546" xr:uid="{00000000-0005-0000-0000-000022020000}"/>
    <cellStyle name="Percent 3" xfId="547" xr:uid="{00000000-0005-0000-0000-000023020000}"/>
    <cellStyle name="Percent Hard" xfId="548" xr:uid="{00000000-0005-0000-0000-000024020000}"/>
    <cellStyle name="percent no decimal" xfId="549" xr:uid="{00000000-0005-0000-0000-000025020000}"/>
    <cellStyle name="Percent1" xfId="550" xr:uid="{00000000-0005-0000-0000-000026020000}"/>
    <cellStyle name="Percent1Blue" xfId="551" xr:uid="{00000000-0005-0000-0000-000027020000}"/>
    <cellStyle name="Percent2" xfId="552" xr:uid="{00000000-0005-0000-0000-000028020000}"/>
    <cellStyle name="Percent2Blue" xfId="553" xr:uid="{00000000-0005-0000-0000-000029020000}"/>
    <cellStyle name="Pounds" xfId="554" xr:uid="{00000000-0005-0000-0000-00002A020000}"/>
    <cellStyle name="PrePop Currency (0)" xfId="555" xr:uid="{00000000-0005-0000-0000-00002B020000}"/>
    <cellStyle name="PrePop Currency (2)" xfId="556" xr:uid="{00000000-0005-0000-0000-00002C020000}"/>
    <cellStyle name="PrePop Units (0)" xfId="557" xr:uid="{00000000-0005-0000-0000-00002D020000}"/>
    <cellStyle name="PrePop Units (1)" xfId="558" xr:uid="{00000000-0005-0000-0000-00002E020000}"/>
    <cellStyle name="PrePop Units (2)" xfId="559" xr:uid="{00000000-0005-0000-0000-00002F020000}"/>
    <cellStyle name="price" xfId="560" xr:uid="{00000000-0005-0000-0000-000030020000}"/>
    <cellStyle name="PriceUn" xfId="561" xr:uid="{00000000-0005-0000-0000-000031020000}"/>
    <cellStyle name="PSChar" xfId="562" xr:uid="{00000000-0005-0000-0000-000032020000}"/>
    <cellStyle name="PSDate" xfId="563" xr:uid="{00000000-0005-0000-0000-000033020000}"/>
    <cellStyle name="PSDec" xfId="564" xr:uid="{00000000-0005-0000-0000-000034020000}"/>
    <cellStyle name="PSHeading" xfId="565" xr:uid="{00000000-0005-0000-0000-000035020000}"/>
    <cellStyle name="PSInt" xfId="566" xr:uid="{00000000-0005-0000-0000-000036020000}"/>
    <cellStyle name="PSSpacer" xfId="567" xr:uid="{00000000-0005-0000-0000-000037020000}"/>
    <cellStyle name="q" xfId="568" xr:uid="{00000000-0005-0000-0000-000038020000}"/>
    <cellStyle name="q_AVP" xfId="569" xr:uid="{00000000-0005-0000-0000-000039020000}"/>
    <cellStyle name="q_AVP_Graphic Depiction - NO DEV" xfId="570" xr:uid="{00000000-0005-0000-0000-00003A020000}"/>
    <cellStyle name="q_AVP_THEsumPage (2)" xfId="571" xr:uid="{00000000-0005-0000-0000-00003B020000}"/>
    <cellStyle name="q_AVP_Valuation Summary Graphics" xfId="572" xr:uid="{00000000-0005-0000-0000-00003C020000}"/>
    <cellStyle name="q_CompSheet" xfId="573" xr:uid="{00000000-0005-0000-0000-00003D020000}"/>
    <cellStyle name="q_crr.dcf2" xfId="574" xr:uid="{00000000-0005-0000-0000-00003E020000}"/>
    <cellStyle name="q_Disc Analysis" xfId="575" xr:uid="{00000000-0005-0000-0000-00003F020000}"/>
    <cellStyle name="q_Disc Analysis_CompSheet" xfId="576" xr:uid="{00000000-0005-0000-0000-000040020000}"/>
    <cellStyle name="q_Disc Analysis_Fairness Opinion Valuation 4-23a.xls Chart 1" xfId="577" xr:uid="{00000000-0005-0000-0000-000041020000}"/>
    <cellStyle name="q_Disc Analysis_PowerValuation.xls Chart 21" xfId="578" xr:uid="{00000000-0005-0000-0000-000042020000}"/>
    <cellStyle name="q_Disc Analysis_PowerValuation.xls Chart 28" xfId="579" xr:uid="{00000000-0005-0000-0000-000043020000}"/>
    <cellStyle name="q_Disc Analysis_THEsumPage (2)" xfId="580" xr:uid="{00000000-0005-0000-0000-000044020000}"/>
    <cellStyle name="q_Disc Analysis_Valuation summaries" xfId="581" xr:uid="{00000000-0005-0000-0000-000045020000}"/>
    <cellStyle name="q_Fairness Opinion Valuation 4-23a.xls Chart 1" xfId="582" xr:uid="{00000000-0005-0000-0000-000046020000}"/>
    <cellStyle name="q_Merg Cons" xfId="583" xr:uid="{00000000-0005-0000-0000-000047020000}"/>
    <cellStyle name="q_Merg Cons_CompSheet" xfId="584" xr:uid="{00000000-0005-0000-0000-000048020000}"/>
    <cellStyle name="q_Merg Cons_Fairness Opinion Valuation 4-23a.xls Chart 1" xfId="585" xr:uid="{00000000-0005-0000-0000-000049020000}"/>
    <cellStyle name="q_Merg Cons_PowerValuation.xls Chart 21" xfId="586" xr:uid="{00000000-0005-0000-0000-00004A020000}"/>
    <cellStyle name="q_Merg Cons_PowerValuation.xls Chart 28" xfId="587" xr:uid="{00000000-0005-0000-0000-00004B020000}"/>
    <cellStyle name="q_Merg Cons_THEsumPage (2)" xfId="588" xr:uid="{00000000-0005-0000-0000-00004C020000}"/>
    <cellStyle name="q_Merg Cons_Valuation summaries" xfId="589" xr:uid="{00000000-0005-0000-0000-00004D020000}"/>
    <cellStyle name="q_PowerValuation.xls Chart 21" xfId="590" xr:uid="{00000000-0005-0000-0000-00004E020000}"/>
    <cellStyle name="q_PowerValuation.xls Chart 28" xfId="591" xr:uid="{00000000-0005-0000-0000-00004F020000}"/>
    <cellStyle name="q_Proj10" xfId="592" xr:uid="{00000000-0005-0000-0000-000050020000}"/>
    <cellStyle name="q_Proj10_AVP" xfId="593" xr:uid="{00000000-0005-0000-0000-000051020000}"/>
    <cellStyle name="q_Proj10_AVP_Graphic Depiction - NO DEV" xfId="594" xr:uid="{00000000-0005-0000-0000-000052020000}"/>
    <cellStyle name="q_Proj10_AVP_THEsumPage (2)" xfId="595" xr:uid="{00000000-0005-0000-0000-000053020000}"/>
    <cellStyle name="q_Proj10_AVP_Valuation Summary Graphics" xfId="596" xr:uid="{00000000-0005-0000-0000-000054020000}"/>
    <cellStyle name="q_Proj10_CompSheet" xfId="597" xr:uid="{00000000-0005-0000-0000-000055020000}"/>
    <cellStyle name="q_Proj10_Disc Analysis" xfId="598" xr:uid="{00000000-0005-0000-0000-000056020000}"/>
    <cellStyle name="q_Proj10_Disc Analysis_CompSheet" xfId="599" xr:uid="{00000000-0005-0000-0000-000057020000}"/>
    <cellStyle name="q_Proj10_Disc Analysis_Fairness Opinion Valuation 4-23a.xls Chart 1" xfId="600" xr:uid="{00000000-0005-0000-0000-000058020000}"/>
    <cellStyle name="q_Proj10_Disc Analysis_PowerValuation.xls Chart 21" xfId="601" xr:uid="{00000000-0005-0000-0000-000059020000}"/>
    <cellStyle name="q_Proj10_Disc Analysis_PowerValuation.xls Chart 28" xfId="602" xr:uid="{00000000-0005-0000-0000-00005A020000}"/>
    <cellStyle name="q_Proj10_Disc Analysis_THEsumPage (2)" xfId="603" xr:uid="{00000000-0005-0000-0000-00005B020000}"/>
    <cellStyle name="q_Proj10_Disc Analysis_Valuation summaries" xfId="604" xr:uid="{00000000-0005-0000-0000-00005C020000}"/>
    <cellStyle name="q_Proj10_Fairness Opinion Valuation 4-23a.xls Chart 1" xfId="605" xr:uid="{00000000-0005-0000-0000-00005D020000}"/>
    <cellStyle name="q_Proj10_Merg Cons" xfId="606" xr:uid="{00000000-0005-0000-0000-00005E020000}"/>
    <cellStyle name="q_Proj10_Merg Cons_CompSheet" xfId="607" xr:uid="{00000000-0005-0000-0000-00005F020000}"/>
    <cellStyle name="q_Proj10_Merg Cons_Fairness Opinion Valuation 4-23a.xls Chart 1" xfId="608" xr:uid="{00000000-0005-0000-0000-000060020000}"/>
    <cellStyle name="q_Proj10_Merg Cons_PowerValuation.xls Chart 21" xfId="609" xr:uid="{00000000-0005-0000-0000-000061020000}"/>
    <cellStyle name="q_Proj10_Merg Cons_PowerValuation.xls Chart 28" xfId="610" xr:uid="{00000000-0005-0000-0000-000062020000}"/>
    <cellStyle name="q_Proj10_Merg Cons_THEsumPage (2)" xfId="611" xr:uid="{00000000-0005-0000-0000-000063020000}"/>
    <cellStyle name="q_Proj10_Merg Cons_Valuation summaries" xfId="612" xr:uid="{00000000-0005-0000-0000-000064020000}"/>
    <cellStyle name="q_Proj10_PowerValuation.xls Chart 21" xfId="613" xr:uid="{00000000-0005-0000-0000-000065020000}"/>
    <cellStyle name="q_Proj10_PowerValuation.xls Chart 28" xfId="614" xr:uid="{00000000-0005-0000-0000-000066020000}"/>
    <cellStyle name="q_Proj10_Sensitivity" xfId="615" xr:uid="{00000000-0005-0000-0000-000067020000}"/>
    <cellStyle name="q_Proj10_Sensitivity_CompSheet" xfId="616" xr:uid="{00000000-0005-0000-0000-000068020000}"/>
    <cellStyle name="q_Proj10_Sensitivity_Fairness Opinion Valuation 4-23a.xls Chart 1" xfId="617" xr:uid="{00000000-0005-0000-0000-000069020000}"/>
    <cellStyle name="q_Proj10_Sensitivity_PowerValuation.xls Chart 21" xfId="618" xr:uid="{00000000-0005-0000-0000-00006A020000}"/>
    <cellStyle name="q_Proj10_Sensitivity_PowerValuation.xls Chart 28" xfId="619" xr:uid="{00000000-0005-0000-0000-00006B020000}"/>
    <cellStyle name="q_Proj10_Sensitivity_THEsumPage (2)" xfId="620" xr:uid="{00000000-0005-0000-0000-00006C020000}"/>
    <cellStyle name="q_Proj10_Sensitivity_Valuation summaries" xfId="621" xr:uid="{00000000-0005-0000-0000-00006D020000}"/>
    <cellStyle name="q_Proj10_show-hold" xfId="622" xr:uid="{00000000-0005-0000-0000-00006E020000}"/>
    <cellStyle name="q_Proj10_show-hold_Graphic Depiction - NO DEV" xfId="623" xr:uid="{00000000-0005-0000-0000-00006F020000}"/>
    <cellStyle name="q_Proj10_show-hold_THEsumPage (2)" xfId="624" xr:uid="{00000000-0005-0000-0000-000070020000}"/>
    <cellStyle name="q_Proj10_show-hold_Valuation Summary Graphics" xfId="625" xr:uid="{00000000-0005-0000-0000-000071020000}"/>
    <cellStyle name="q_Proj10_THEsumPage (2)" xfId="626" xr:uid="{00000000-0005-0000-0000-000072020000}"/>
    <cellStyle name="q_Proj10_Valuation summaries" xfId="627" xr:uid="{00000000-0005-0000-0000-000073020000}"/>
    <cellStyle name="q_Proj10_WACC-CableCar" xfId="628" xr:uid="{00000000-0005-0000-0000-000074020000}"/>
    <cellStyle name="q_Proj10_WACC-CableCar_THEsumPage (2)" xfId="629" xr:uid="{00000000-0005-0000-0000-000075020000}"/>
    <cellStyle name="q_Sensitivity" xfId="630" xr:uid="{00000000-0005-0000-0000-000076020000}"/>
    <cellStyle name="q_Sensitivity_CompSheet" xfId="631" xr:uid="{00000000-0005-0000-0000-000077020000}"/>
    <cellStyle name="q_Sensitivity_Fairness Opinion Valuation 4-23a.xls Chart 1" xfId="632" xr:uid="{00000000-0005-0000-0000-000078020000}"/>
    <cellStyle name="q_Sensitivity_PowerValuation.xls Chart 21" xfId="633" xr:uid="{00000000-0005-0000-0000-000079020000}"/>
    <cellStyle name="q_Sensitivity_PowerValuation.xls Chart 28" xfId="634" xr:uid="{00000000-0005-0000-0000-00007A020000}"/>
    <cellStyle name="q_Sensitivity_THEsumPage (2)" xfId="635" xr:uid="{00000000-0005-0000-0000-00007B020000}"/>
    <cellStyle name="q_Sensitivity_Valuation summaries" xfId="636" xr:uid="{00000000-0005-0000-0000-00007C020000}"/>
    <cellStyle name="q_show-hold" xfId="637" xr:uid="{00000000-0005-0000-0000-00007D020000}"/>
    <cellStyle name="q_show-hold_CompSheet" xfId="638" xr:uid="{00000000-0005-0000-0000-00007E020000}"/>
    <cellStyle name="q_show-hold_Fairness Opinion Valuation 4-23a.xls Chart 1" xfId="639" xr:uid="{00000000-0005-0000-0000-00007F020000}"/>
    <cellStyle name="q_show-hold_PowerValuation.xls Chart 21" xfId="640" xr:uid="{00000000-0005-0000-0000-000080020000}"/>
    <cellStyle name="q_show-hold_PowerValuation.xls Chart 28" xfId="641" xr:uid="{00000000-0005-0000-0000-000081020000}"/>
    <cellStyle name="q_show-hold_THEsumPage (2)" xfId="642" xr:uid="{00000000-0005-0000-0000-000082020000}"/>
    <cellStyle name="q_show-hold_Valuation summaries" xfId="643" xr:uid="{00000000-0005-0000-0000-000083020000}"/>
    <cellStyle name="q_THEsumPage (2)" xfId="644" xr:uid="{00000000-0005-0000-0000-000084020000}"/>
    <cellStyle name="q_Valuation summaries" xfId="645" xr:uid="{00000000-0005-0000-0000-000085020000}"/>
    <cellStyle name="q_WACC-CableCar" xfId="646" xr:uid="{00000000-0005-0000-0000-000086020000}"/>
    <cellStyle name="q_WACC-CableCar_THEsumPage (2)" xfId="647" xr:uid="{00000000-0005-0000-0000-000087020000}"/>
    <cellStyle name="QEPS-h" xfId="648" xr:uid="{00000000-0005-0000-0000-000088020000}"/>
    <cellStyle name="QEPS-H1" xfId="649" xr:uid="{00000000-0005-0000-0000-000089020000}"/>
    <cellStyle name="QEPS-H1 2" xfId="1040" xr:uid="{2ED33159-49AC-4B59-9F16-6C8EE554E4BF}"/>
    <cellStyle name="qRange" xfId="650" xr:uid="{00000000-0005-0000-0000-00008A020000}"/>
    <cellStyle name="r" xfId="651" xr:uid="{00000000-0005-0000-0000-00008B020000}"/>
    <cellStyle name="range" xfId="652" xr:uid="{00000000-0005-0000-0000-00008C020000}"/>
    <cellStyle name="regstoresfromspecstores" xfId="653" xr:uid="{00000000-0005-0000-0000-00008D020000}"/>
    <cellStyle name="Reset range style to defaults" xfId="654" xr:uid="{00000000-0005-0000-0000-00008E020000}"/>
    <cellStyle name="RevList" xfId="655" xr:uid="{00000000-0005-0000-0000-00008F020000}"/>
    <cellStyle name="Right" xfId="656" xr:uid="{00000000-0005-0000-0000-000090020000}"/>
    <cellStyle name="s" xfId="657" xr:uid="{00000000-0005-0000-0000-000091020000}"/>
    <cellStyle name="SAPBEXaggData" xfId="658" xr:uid="{00000000-0005-0000-0000-000092020000}"/>
    <cellStyle name="SAPBEXaggData 2" xfId="1041" xr:uid="{79E2C393-13EA-4741-8947-302820E151B1}"/>
    <cellStyle name="SAPBEXaggDataEmph" xfId="659" xr:uid="{00000000-0005-0000-0000-000093020000}"/>
    <cellStyle name="SAPBEXaggDataEmph 2" xfId="1042" xr:uid="{E3330975-1E3A-4187-B962-F7198B0CDCC2}"/>
    <cellStyle name="SAPBEXaggItem" xfId="660" xr:uid="{00000000-0005-0000-0000-000094020000}"/>
    <cellStyle name="SAPBEXaggItem 2" xfId="1043" xr:uid="{8B354C7D-0FB7-43E1-B760-5DC15907A6AE}"/>
    <cellStyle name="SAPBEXaggItemX" xfId="661" xr:uid="{00000000-0005-0000-0000-000095020000}"/>
    <cellStyle name="SAPBEXaggItemX 2" xfId="1044" xr:uid="{50DA12D1-1B5F-47C7-9ABF-E64AA1108E38}"/>
    <cellStyle name="SAPBEXchaText" xfId="662" xr:uid="{00000000-0005-0000-0000-000096020000}"/>
    <cellStyle name="SAPBEXexcBad7" xfId="663" xr:uid="{00000000-0005-0000-0000-000097020000}"/>
    <cellStyle name="SAPBEXexcBad7 2" xfId="1045" xr:uid="{0D5EF80C-7A73-4F70-92C6-648A11F9F509}"/>
    <cellStyle name="SAPBEXexcBad8" xfId="664" xr:uid="{00000000-0005-0000-0000-000098020000}"/>
    <cellStyle name="SAPBEXexcBad8 2" xfId="1046" xr:uid="{F6CD4CBC-2BEB-4DDD-AD0A-1BB092B101E7}"/>
    <cellStyle name="SAPBEXexcBad9" xfId="665" xr:uid="{00000000-0005-0000-0000-000099020000}"/>
    <cellStyle name="SAPBEXexcBad9 2" xfId="1047" xr:uid="{3A08C0EA-13DB-4EAC-B7AE-64B8F250E88B}"/>
    <cellStyle name="SAPBEXexcCritical4" xfId="666" xr:uid="{00000000-0005-0000-0000-00009A020000}"/>
    <cellStyle name="SAPBEXexcCritical4 2" xfId="1048" xr:uid="{3B3156DC-5953-4344-972E-27325C8CDA4E}"/>
    <cellStyle name="SAPBEXexcCritical5" xfId="667" xr:uid="{00000000-0005-0000-0000-00009B020000}"/>
    <cellStyle name="SAPBEXexcCritical5 2" xfId="1049" xr:uid="{6C5A0588-FE90-41C0-BAA3-DC66128B3185}"/>
    <cellStyle name="SAPBEXexcCritical6" xfId="668" xr:uid="{00000000-0005-0000-0000-00009C020000}"/>
    <cellStyle name="SAPBEXexcCritical6 2" xfId="1050" xr:uid="{35D90C84-BCFF-4463-9ABB-ECFE153FD883}"/>
    <cellStyle name="SAPBEXexcGood1" xfId="669" xr:uid="{00000000-0005-0000-0000-00009D020000}"/>
    <cellStyle name="SAPBEXexcGood1 2" xfId="1051" xr:uid="{4B379EB2-1BD0-4993-94FC-46E79050337B}"/>
    <cellStyle name="SAPBEXexcGood2" xfId="670" xr:uid="{00000000-0005-0000-0000-00009E020000}"/>
    <cellStyle name="SAPBEXexcGood2 2" xfId="1052" xr:uid="{F13213C1-2420-4977-AE88-A2AEAAC6B12B}"/>
    <cellStyle name="SAPBEXexcGood3" xfId="671" xr:uid="{00000000-0005-0000-0000-00009F020000}"/>
    <cellStyle name="SAPBEXexcGood3 2" xfId="1053" xr:uid="{61ED765E-766F-4794-936F-DBC0E7A3B78A}"/>
    <cellStyle name="SAPBEXfilterDrill" xfId="672" xr:uid="{00000000-0005-0000-0000-0000A0020000}"/>
    <cellStyle name="SAPBEXfilterItem" xfId="673" xr:uid="{00000000-0005-0000-0000-0000A1020000}"/>
    <cellStyle name="SAPBEXfilterText" xfId="674" xr:uid="{00000000-0005-0000-0000-0000A2020000}"/>
    <cellStyle name="SAPBEXformats" xfId="675" xr:uid="{00000000-0005-0000-0000-0000A3020000}"/>
    <cellStyle name="SAPBEXformats 2" xfId="1054" xr:uid="{2CD03C41-B7F6-4A9A-812A-53E083E32EBF}"/>
    <cellStyle name="SAPBEXheaderItem" xfId="676" xr:uid="{00000000-0005-0000-0000-0000A4020000}"/>
    <cellStyle name="SAPBEXheaderText" xfId="677" xr:uid="{00000000-0005-0000-0000-0000A5020000}"/>
    <cellStyle name="SAPBEXHLevel0" xfId="678" xr:uid="{00000000-0005-0000-0000-0000A6020000}"/>
    <cellStyle name="SAPBEXHLevel0 2" xfId="1055" xr:uid="{5CE339D2-17B9-4766-8AD8-48AD4A2AA2FB}"/>
    <cellStyle name="SAPBEXHLevel0X" xfId="679" xr:uid="{00000000-0005-0000-0000-0000A7020000}"/>
    <cellStyle name="SAPBEXHLevel0X 2" xfId="1056" xr:uid="{BA5FE165-6F64-4416-8F4F-7D1629192DDC}"/>
    <cellStyle name="SAPBEXHLevel1" xfId="680" xr:uid="{00000000-0005-0000-0000-0000A8020000}"/>
    <cellStyle name="SAPBEXHLevel1 2" xfId="1057" xr:uid="{CE43AF98-627E-460E-8552-5C1D79670F5A}"/>
    <cellStyle name="SAPBEXHLevel1X" xfId="681" xr:uid="{00000000-0005-0000-0000-0000A9020000}"/>
    <cellStyle name="SAPBEXHLevel1X 2" xfId="1058" xr:uid="{7AB102DA-3389-4752-BCAA-7CDA12438B84}"/>
    <cellStyle name="SAPBEXHLevel2" xfId="682" xr:uid="{00000000-0005-0000-0000-0000AA020000}"/>
    <cellStyle name="SAPBEXHLevel2 2" xfId="1059" xr:uid="{2D127A34-FA5C-4CFC-B69B-2A8B50BC3718}"/>
    <cellStyle name="SAPBEXHLevel2X" xfId="683" xr:uid="{00000000-0005-0000-0000-0000AB020000}"/>
    <cellStyle name="SAPBEXHLevel2X 2" xfId="1060" xr:uid="{39A4D4D2-8D6F-4DF3-8AEC-28440AA70A7F}"/>
    <cellStyle name="SAPBEXHLevel3" xfId="684" xr:uid="{00000000-0005-0000-0000-0000AC020000}"/>
    <cellStyle name="SAPBEXHLevel3 2" xfId="1061" xr:uid="{7DC04F69-B1A9-4C72-B544-DACD2FA6806C}"/>
    <cellStyle name="SAPBEXHLevel3X" xfId="685" xr:uid="{00000000-0005-0000-0000-0000AD020000}"/>
    <cellStyle name="SAPBEXHLevel3X 2" xfId="1062" xr:uid="{39C3E903-2AB9-451E-9EA1-6A1C6C2B1E73}"/>
    <cellStyle name="SAPBEXresData" xfId="686" xr:uid="{00000000-0005-0000-0000-0000AE020000}"/>
    <cellStyle name="SAPBEXresData 2" xfId="1063" xr:uid="{D63FBB45-DD66-4EE9-B48C-12B75B827EF8}"/>
    <cellStyle name="SAPBEXresDataEmph" xfId="687" xr:uid="{00000000-0005-0000-0000-0000AF020000}"/>
    <cellStyle name="SAPBEXresDataEmph 2" xfId="1064" xr:uid="{EF07350A-0DAF-43C1-A782-87251AC692BE}"/>
    <cellStyle name="SAPBEXresItem" xfId="688" xr:uid="{00000000-0005-0000-0000-0000B0020000}"/>
    <cellStyle name="SAPBEXresItem 2" xfId="1065" xr:uid="{37C4B3C1-7595-400E-9F0D-46EA5C50FAE5}"/>
    <cellStyle name="SAPBEXresItemX" xfId="689" xr:uid="{00000000-0005-0000-0000-0000B1020000}"/>
    <cellStyle name="SAPBEXresItemX 2" xfId="1066" xr:uid="{BA34369C-B140-4654-ADE0-160F4971B837}"/>
    <cellStyle name="SAPBEXstdData" xfId="690" xr:uid="{00000000-0005-0000-0000-0000B2020000}"/>
    <cellStyle name="SAPBEXstdData 2" xfId="1067" xr:uid="{A93CEFF6-7305-417A-96B3-CA611B15CBE0}"/>
    <cellStyle name="SAPBEXstdDataEmph" xfId="691" xr:uid="{00000000-0005-0000-0000-0000B3020000}"/>
    <cellStyle name="SAPBEXstdDataEmph 2" xfId="1068" xr:uid="{030E3E05-3CAE-4336-B419-C22DD38D6C23}"/>
    <cellStyle name="SAPBEXstdItem" xfId="692" xr:uid="{00000000-0005-0000-0000-0000B4020000}"/>
    <cellStyle name="SAPBEXstdItem 2" xfId="1069" xr:uid="{61BDCF04-D122-42C0-8EEF-9983EF039A16}"/>
    <cellStyle name="SAPBEXstdItemX" xfId="693" xr:uid="{00000000-0005-0000-0000-0000B5020000}"/>
    <cellStyle name="SAPBEXstdItemX 2" xfId="1070" xr:uid="{0D293B3D-5560-46A1-963F-61ABC7685707}"/>
    <cellStyle name="SAPBEXtitle" xfId="694" xr:uid="{00000000-0005-0000-0000-0000B6020000}"/>
    <cellStyle name="SAPBEXundefined" xfId="695" xr:uid="{00000000-0005-0000-0000-0000B7020000}"/>
    <cellStyle name="SAPBEXundefined 2" xfId="1071" xr:uid="{081A24C0-CCFB-4724-82CA-BB4A524457C8}"/>
    <cellStyle name="ScotchRule" xfId="696" xr:uid="{00000000-0005-0000-0000-0000B8020000}"/>
    <cellStyle name="Shaded" xfId="697" xr:uid="{00000000-0005-0000-0000-0000B9020000}"/>
    <cellStyle name="SHADEDSTORES" xfId="698" xr:uid="{00000000-0005-0000-0000-0000BA020000}"/>
    <cellStyle name="Short $" xfId="699" xr:uid="{00000000-0005-0000-0000-0000BB020000}"/>
    <cellStyle name="Single Accounting" xfId="700" xr:uid="{00000000-0005-0000-0000-0000BC020000}"/>
    <cellStyle name="specstores" xfId="701" xr:uid="{00000000-0005-0000-0000-0000BD020000}"/>
    <cellStyle name="STYL1 - Style1" xfId="702" xr:uid="{00000000-0005-0000-0000-0000BE020000}"/>
    <cellStyle name="STYL1 - Style1 2" xfId="1072" xr:uid="{A994D11A-FB93-4A2F-A97D-832EAE2E20ED}"/>
    <cellStyle name="STYL2 - Style2" xfId="703" xr:uid="{00000000-0005-0000-0000-0000BF020000}"/>
    <cellStyle name="STYL3 - Style3" xfId="704" xr:uid="{00000000-0005-0000-0000-0000C0020000}"/>
    <cellStyle name="STYL4 - Style4" xfId="705" xr:uid="{00000000-0005-0000-0000-0000C1020000}"/>
    <cellStyle name="STYL4 - Style4 2" xfId="1073" xr:uid="{350CE588-CF01-4940-AAA5-B97952D1E2E6}"/>
    <cellStyle name="STYL5 - Style5" xfId="706" xr:uid="{00000000-0005-0000-0000-0000C2020000}"/>
    <cellStyle name="STYL6 - Style6" xfId="707" xr:uid="{00000000-0005-0000-0000-0000C3020000}"/>
    <cellStyle name="STYL6 - Style6 2" xfId="1074" xr:uid="{41B332CB-1B72-4B5E-B453-80BC8B7BA512}"/>
    <cellStyle name="Style 1" xfId="708" xr:uid="{00000000-0005-0000-0000-0000C4020000}"/>
    <cellStyle name="Style 2" xfId="709" xr:uid="{00000000-0005-0000-0000-0000C5020000}"/>
    <cellStyle name="Style 2 2" xfId="1075" xr:uid="{F57E868A-202B-4A35-8C97-2A02FA1A93D5}"/>
    <cellStyle name="Style 227" xfId="710" xr:uid="{00000000-0005-0000-0000-0000C6020000}"/>
    <cellStyle name="Style 228" xfId="711" xr:uid="{00000000-0005-0000-0000-0000C7020000}"/>
    <cellStyle name="Style 228 2" xfId="1076" xr:uid="{2048885F-9A17-4055-9F1E-92E3C6D3E2AD}"/>
    <cellStyle name="Style 229" xfId="712" xr:uid="{00000000-0005-0000-0000-0000C8020000}"/>
    <cellStyle name="Style 229 2" xfId="1077" xr:uid="{A3B31C16-0758-4BD1-9B51-75E947518FA3}"/>
    <cellStyle name="Style 230" xfId="713" xr:uid="{00000000-0005-0000-0000-0000C9020000}"/>
    <cellStyle name="Style 230 2" xfId="1078" xr:uid="{DA278F81-7E16-4429-8F85-16B717B0F43C}"/>
    <cellStyle name="Style 231" xfId="714" xr:uid="{00000000-0005-0000-0000-0000CA020000}"/>
    <cellStyle name="Style 231 2" xfId="1079" xr:uid="{F97A89F3-A324-4CFE-A16B-74F38CC80780}"/>
    <cellStyle name="Style 232" xfId="715" xr:uid="{00000000-0005-0000-0000-0000CB020000}"/>
    <cellStyle name="Style 233" xfId="716" xr:uid="{00000000-0005-0000-0000-0000CC020000}"/>
    <cellStyle name="Style 234" xfId="717" xr:uid="{00000000-0005-0000-0000-0000CD020000}"/>
    <cellStyle name="Style 235" xfId="718" xr:uid="{00000000-0005-0000-0000-0000CE020000}"/>
    <cellStyle name="Style 236" xfId="719" xr:uid="{00000000-0005-0000-0000-0000CF020000}"/>
    <cellStyle name="Style 237" xfId="720" xr:uid="{00000000-0005-0000-0000-0000D0020000}"/>
    <cellStyle name="Style 238" xfId="721" xr:uid="{00000000-0005-0000-0000-0000D1020000}"/>
    <cellStyle name="Style 239" xfId="722" xr:uid="{00000000-0005-0000-0000-0000D2020000}"/>
    <cellStyle name="Style 240" xfId="723" xr:uid="{00000000-0005-0000-0000-0000D3020000}"/>
    <cellStyle name="Style 241" xfId="724" xr:uid="{00000000-0005-0000-0000-0000D4020000}"/>
    <cellStyle name="Style 242" xfId="725" xr:uid="{00000000-0005-0000-0000-0000D5020000}"/>
    <cellStyle name="Style 243" xfId="726" xr:uid="{00000000-0005-0000-0000-0000D6020000}"/>
    <cellStyle name="Style 244" xfId="727" xr:uid="{00000000-0005-0000-0000-0000D7020000}"/>
    <cellStyle name="Style 245" xfId="728" xr:uid="{00000000-0005-0000-0000-0000D8020000}"/>
    <cellStyle name="Style 246" xfId="729" xr:uid="{00000000-0005-0000-0000-0000D9020000}"/>
    <cellStyle name="Style 247" xfId="730" xr:uid="{00000000-0005-0000-0000-0000DA020000}"/>
    <cellStyle name="Style 248" xfId="731" xr:uid="{00000000-0005-0000-0000-0000DB020000}"/>
    <cellStyle name="Style 249" xfId="732" xr:uid="{00000000-0005-0000-0000-0000DC020000}"/>
    <cellStyle name="Style 250" xfId="733" xr:uid="{00000000-0005-0000-0000-0000DD020000}"/>
    <cellStyle name="Style 251" xfId="734" xr:uid="{00000000-0005-0000-0000-0000DE020000}"/>
    <cellStyle name="Style 252" xfId="735" xr:uid="{00000000-0005-0000-0000-0000DF020000}"/>
    <cellStyle name="Style 252 2" xfId="1080" xr:uid="{D682F730-DD63-4218-B90E-586AB986D08A}"/>
    <cellStyle name="Style 253" xfId="736" xr:uid="{00000000-0005-0000-0000-0000E0020000}"/>
    <cellStyle name="Style 253 2" xfId="1081" xr:uid="{C92F5EE7-63FB-4F72-A70C-032D38FD8154}"/>
    <cellStyle name="Style 254" xfId="737" xr:uid="{00000000-0005-0000-0000-0000E1020000}"/>
    <cellStyle name="Style 254 2" xfId="1082" xr:uid="{FCD6C8F4-57E5-4C0F-8457-EE65D6C18E19}"/>
    <cellStyle name="Style 255" xfId="738" xr:uid="{00000000-0005-0000-0000-0000E2020000}"/>
    <cellStyle name="Style 255 2" xfId="1083" xr:uid="{1529BAA4-99EA-4CD6-94B6-C5816C8C6D5E}"/>
    <cellStyle name="Style 256" xfId="739" xr:uid="{00000000-0005-0000-0000-0000E3020000}"/>
    <cellStyle name="Style 256 2" xfId="1084" xr:uid="{52B2F5AA-91B4-4936-86DF-DFAF35F0842B}"/>
    <cellStyle name="Style 257" xfId="740" xr:uid="{00000000-0005-0000-0000-0000E4020000}"/>
    <cellStyle name="Style 257 2" xfId="1085" xr:uid="{C11A2E1D-1F27-44E5-A32E-C236C14609D4}"/>
    <cellStyle name="Style 258" xfId="741" xr:uid="{00000000-0005-0000-0000-0000E5020000}"/>
    <cellStyle name="Style 258 2" xfId="1086" xr:uid="{F18C7F4D-74E7-4335-B6E5-C9DDA90D51CB}"/>
    <cellStyle name="Style 259" xfId="742" xr:uid="{00000000-0005-0000-0000-0000E6020000}"/>
    <cellStyle name="Style 259 2" xfId="1087" xr:uid="{8EE5D43E-E34A-49CF-AEB4-5BBAA4EF9D39}"/>
    <cellStyle name="Style 260" xfId="743" xr:uid="{00000000-0005-0000-0000-0000E7020000}"/>
    <cellStyle name="Style 260 2" xfId="1088" xr:uid="{AFFB255D-2322-4537-A98C-9CF7C4E4EF03}"/>
    <cellStyle name="Style 3" xfId="744" xr:uid="{00000000-0005-0000-0000-0000E8020000}"/>
    <cellStyle name="Style 3 2" xfId="1089" xr:uid="{ECC9E7C4-3B6C-4026-9B65-EBB46E646A2B}"/>
    <cellStyle name="Style 307" xfId="745" xr:uid="{00000000-0005-0000-0000-0000E9020000}"/>
    <cellStyle name="Style 308" xfId="746" xr:uid="{00000000-0005-0000-0000-0000EA020000}"/>
    <cellStyle name="Style 308 2" xfId="1090" xr:uid="{87ED50D5-6E7E-4F84-AF03-B0AE694207C5}"/>
    <cellStyle name="Style 309" xfId="747" xr:uid="{00000000-0005-0000-0000-0000EB020000}"/>
    <cellStyle name="Style 309 2" xfId="1091" xr:uid="{C0106538-D81E-4962-9957-F4E86CAA4708}"/>
    <cellStyle name="Style 310" xfId="748" xr:uid="{00000000-0005-0000-0000-0000EC020000}"/>
    <cellStyle name="Style 310 2" xfId="1092" xr:uid="{8F9F79FC-DA5A-4DB9-B983-0A1A40856D08}"/>
    <cellStyle name="Style 311" xfId="749" xr:uid="{00000000-0005-0000-0000-0000ED020000}"/>
    <cellStyle name="Style 311 2" xfId="1093" xr:uid="{9AF09A27-BB44-4A6B-A35F-F1F810462AA0}"/>
    <cellStyle name="Style 312" xfId="750" xr:uid="{00000000-0005-0000-0000-0000EE020000}"/>
    <cellStyle name="Style 313" xfId="751" xr:uid="{00000000-0005-0000-0000-0000EF020000}"/>
    <cellStyle name="Style 314" xfId="752" xr:uid="{00000000-0005-0000-0000-0000F0020000}"/>
    <cellStyle name="Style 315" xfId="753" xr:uid="{00000000-0005-0000-0000-0000F1020000}"/>
    <cellStyle name="Style 316" xfId="754" xr:uid="{00000000-0005-0000-0000-0000F2020000}"/>
    <cellStyle name="Style 317" xfId="755" xr:uid="{00000000-0005-0000-0000-0000F3020000}"/>
    <cellStyle name="Style 318" xfId="756" xr:uid="{00000000-0005-0000-0000-0000F4020000}"/>
    <cellStyle name="Style 319" xfId="757" xr:uid="{00000000-0005-0000-0000-0000F5020000}"/>
    <cellStyle name="Style 320" xfId="758" xr:uid="{00000000-0005-0000-0000-0000F6020000}"/>
    <cellStyle name="Style 320 2" xfId="1094" xr:uid="{D9214D92-FACC-461E-A0E5-4862FDCD8AE1}"/>
    <cellStyle name="Style 321" xfId="759" xr:uid="{00000000-0005-0000-0000-0000F7020000}"/>
    <cellStyle name="Style 321 2" xfId="1095" xr:uid="{E2C74BDA-2BBC-4CFE-B0D6-A6B4701F1516}"/>
    <cellStyle name="Style 322" xfId="760" xr:uid="{00000000-0005-0000-0000-0000F8020000}"/>
    <cellStyle name="Style 322 2" xfId="1096" xr:uid="{1B718A1E-3055-41DA-94C4-C710F44384A5}"/>
    <cellStyle name="Style 351" xfId="761" xr:uid="{00000000-0005-0000-0000-0000F9020000}"/>
    <cellStyle name="Style 352" xfId="762" xr:uid="{00000000-0005-0000-0000-0000FA020000}"/>
    <cellStyle name="Style 352 2" xfId="1097" xr:uid="{411D78FD-A50B-4A71-8532-20953F9AE135}"/>
    <cellStyle name="Style 353" xfId="763" xr:uid="{00000000-0005-0000-0000-0000FB020000}"/>
    <cellStyle name="Style 353 2" xfId="1098" xr:uid="{EC4E0819-4FE4-4D3B-9CF1-B384250E8C06}"/>
    <cellStyle name="Style 354" xfId="764" xr:uid="{00000000-0005-0000-0000-0000FC020000}"/>
    <cellStyle name="Style 354 2" xfId="1099" xr:uid="{F037FE32-FC4A-4020-89B7-EAF18060FA60}"/>
    <cellStyle name="Style 355" xfId="765" xr:uid="{00000000-0005-0000-0000-0000FD020000}"/>
    <cellStyle name="Style 355 2" xfId="1100" xr:uid="{071C48B5-C2B8-4517-B1B7-17A73D2E8774}"/>
    <cellStyle name="Style 356" xfId="766" xr:uid="{00000000-0005-0000-0000-0000FE020000}"/>
    <cellStyle name="Style 357" xfId="767" xr:uid="{00000000-0005-0000-0000-0000FF020000}"/>
    <cellStyle name="Style 358" xfId="768" xr:uid="{00000000-0005-0000-0000-000000030000}"/>
    <cellStyle name="Style 359" xfId="769" xr:uid="{00000000-0005-0000-0000-000001030000}"/>
    <cellStyle name="Style 359 2" xfId="1101" xr:uid="{84659B1B-CFAC-4172-8BA4-A348AE156B2C}"/>
    <cellStyle name="Style 360" xfId="770" xr:uid="{00000000-0005-0000-0000-000002030000}"/>
    <cellStyle name="Style 360 2" xfId="1102" xr:uid="{D837AA6B-C6AE-4A8B-9E3A-2461DC637D2E}"/>
    <cellStyle name="Style 361" xfId="771" xr:uid="{00000000-0005-0000-0000-000003030000}"/>
    <cellStyle name="Style 361 2" xfId="1103" xr:uid="{4B423D6E-4982-42E7-813E-FC34238312DC}"/>
    <cellStyle name="Style 362" xfId="772" xr:uid="{00000000-0005-0000-0000-000004030000}"/>
    <cellStyle name="Style 362 2" xfId="1104" xr:uid="{AA68A226-B2FD-4237-A5BC-1161A4E0197A}"/>
    <cellStyle name="Style 363" xfId="773" xr:uid="{00000000-0005-0000-0000-000005030000}"/>
    <cellStyle name="Style 364" xfId="774" xr:uid="{00000000-0005-0000-0000-000006030000}"/>
    <cellStyle name="Style 365" xfId="775" xr:uid="{00000000-0005-0000-0000-000007030000}"/>
    <cellStyle name="Style 366" xfId="776" xr:uid="{00000000-0005-0000-0000-000008030000}"/>
    <cellStyle name="Style 367" xfId="777" xr:uid="{00000000-0005-0000-0000-000009030000}"/>
    <cellStyle name="Style 368" xfId="778" xr:uid="{00000000-0005-0000-0000-00000A030000}"/>
    <cellStyle name="Style 369" xfId="779" xr:uid="{00000000-0005-0000-0000-00000B030000}"/>
    <cellStyle name="Style 370" xfId="780" xr:uid="{00000000-0005-0000-0000-00000C030000}"/>
    <cellStyle name="Style 371" xfId="781" xr:uid="{00000000-0005-0000-0000-00000D030000}"/>
    <cellStyle name="Style 372" xfId="782" xr:uid="{00000000-0005-0000-0000-00000E030000}"/>
    <cellStyle name="Style 373" xfId="783" xr:uid="{00000000-0005-0000-0000-00000F030000}"/>
    <cellStyle name="Style 374" xfId="784" xr:uid="{00000000-0005-0000-0000-000010030000}"/>
    <cellStyle name="Style 375" xfId="785" xr:uid="{00000000-0005-0000-0000-000011030000}"/>
    <cellStyle name="Style 376" xfId="786" xr:uid="{00000000-0005-0000-0000-000012030000}"/>
    <cellStyle name="Style 377" xfId="787" xr:uid="{00000000-0005-0000-0000-000013030000}"/>
    <cellStyle name="Style 378" xfId="788" xr:uid="{00000000-0005-0000-0000-000014030000}"/>
    <cellStyle name="Style 379" xfId="789" xr:uid="{00000000-0005-0000-0000-000015030000}"/>
    <cellStyle name="Style 380" xfId="790" xr:uid="{00000000-0005-0000-0000-000016030000}"/>
    <cellStyle name="Style 381" xfId="791" xr:uid="{00000000-0005-0000-0000-000017030000}"/>
    <cellStyle name="Style 382" xfId="792" xr:uid="{00000000-0005-0000-0000-000018030000}"/>
    <cellStyle name="Style 383" xfId="793" xr:uid="{00000000-0005-0000-0000-000019030000}"/>
    <cellStyle name="Style 383 2" xfId="1105" xr:uid="{110382F9-BF0F-4D2E-B463-2666DC451344}"/>
    <cellStyle name="Style 384" xfId="794" xr:uid="{00000000-0005-0000-0000-00001A030000}"/>
    <cellStyle name="Style 384 2" xfId="1106" xr:uid="{4461E58C-477F-40A1-8352-83A9BC3CA80A}"/>
    <cellStyle name="Style 385" xfId="795" xr:uid="{00000000-0005-0000-0000-00001B030000}"/>
    <cellStyle name="Style 385 2" xfId="1107" xr:uid="{FAC88578-5097-463D-BF52-BDD1E3412C4D}"/>
    <cellStyle name="Style 386" xfId="796" xr:uid="{00000000-0005-0000-0000-00001C030000}"/>
    <cellStyle name="Style 386 2" xfId="1108" xr:uid="{9E336529-5C68-4AE7-BB0A-33309D69A051}"/>
    <cellStyle name="Style 387" xfId="797" xr:uid="{00000000-0005-0000-0000-00001D030000}"/>
    <cellStyle name="Style 387 2" xfId="1109" xr:uid="{721D4507-09A3-4FCD-B703-FF1E1C583117}"/>
    <cellStyle name="Style 388" xfId="798" xr:uid="{00000000-0005-0000-0000-00001E030000}"/>
    <cellStyle name="Style 388 2" xfId="1110" xr:uid="{262BF3DA-2FA7-4F32-B065-E6235FB4BBBA}"/>
    <cellStyle name="Style 389" xfId="799" xr:uid="{00000000-0005-0000-0000-00001F030000}"/>
    <cellStyle name="Style 389 2" xfId="1111" xr:uid="{3CAEB97B-9795-4781-B445-7DFA7D1C0AFA}"/>
    <cellStyle name="Style 390" xfId="800" xr:uid="{00000000-0005-0000-0000-000020030000}"/>
    <cellStyle name="Style 390 2" xfId="1112" xr:uid="{51209B97-6091-4C1A-A85D-5680BF07140A}"/>
    <cellStyle name="Style 391" xfId="801" xr:uid="{00000000-0005-0000-0000-000021030000}"/>
    <cellStyle name="Style 391 2" xfId="1113" xr:uid="{5F3A9F4B-0711-45BB-AD09-A5F658F15DD5}"/>
    <cellStyle name="Style 392" xfId="802" xr:uid="{00000000-0005-0000-0000-000022030000}"/>
    <cellStyle name="Style 392 2" xfId="1114" xr:uid="{AB3198B2-F982-443F-B6C9-BA062DB47B7B}"/>
    <cellStyle name="Style 393" xfId="803" xr:uid="{00000000-0005-0000-0000-000023030000}"/>
    <cellStyle name="Style 393 2" xfId="1115" xr:uid="{C2962E49-8D1A-49A7-824A-37128A267421}"/>
    <cellStyle name="Style 394" xfId="804" xr:uid="{00000000-0005-0000-0000-000024030000}"/>
    <cellStyle name="Style 394 2" xfId="1116" xr:uid="{48E7F92F-9880-4D87-8340-0C67B8C3A535}"/>
    <cellStyle name="Style 395" xfId="805" xr:uid="{00000000-0005-0000-0000-000025030000}"/>
    <cellStyle name="Style 395 2" xfId="1117" xr:uid="{C5B0C59B-C2D9-4E53-B09A-30BADB8F2EA0}"/>
    <cellStyle name="Style 396" xfId="806" xr:uid="{00000000-0005-0000-0000-000026030000}"/>
    <cellStyle name="Style 397" xfId="807" xr:uid="{00000000-0005-0000-0000-000027030000}"/>
    <cellStyle name="Style 398" xfId="808" xr:uid="{00000000-0005-0000-0000-000028030000}"/>
    <cellStyle name="Style 398 2" xfId="1118" xr:uid="{491A631A-156D-4D1E-89F3-14E0B3B6A79D}"/>
    <cellStyle name="Style 399" xfId="809" xr:uid="{00000000-0005-0000-0000-000029030000}"/>
    <cellStyle name="Style 399 2" xfId="1119" xr:uid="{88F3A47D-F98D-4D57-A74B-272229D5D855}"/>
    <cellStyle name="Style 4" xfId="1011" xr:uid="{00000000-0005-0000-0000-00002A030000}"/>
    <cellStyle name="Style 400" xfId="810" xr:uid="{00000000-0005-0000-0000-00002B030000}"/>
    <cellStyle name="Style 401" xfId="811" xr:uid="{00000000-0005-0000-0000-00002C030000}"/>
    <cellStyle name="Style 402" xfId="812" xr:uid="{00000000-0005-0000-0000-00002D030000}"/>
    <cellStyle name="Style 403" xfId="813" xr:uid="{00000000-0005-0000-0000-00002E030000}"/>
    <cellStyle name="Style 404" xfId="814" xr:uid="{00000000-0005-0000-0000-00002F030000}"/>
    <cellStyle name="Style 405" xfId="815" xr:uid="{00000000-0005-0000-0000-000030030000}"/>
    <cellStyle name="Style 406" xfId="816" xr:uid="{00000000-0005-0000-0000-000031030000}"/>
    <cellStyle name="Style 407" xfId="817" xr:uid="{00000000-0005-0000-0000-000032030000}"/>
    <cellStyle name="Style 408" xfId="818" xr:uid="{00000000-0005-0000-0000-000033030000}"/>
    <cellStyle name="Style 409" xfId="819" xr:uid="{00000000-0005-0000-0000-000034030000}"/>
    <cellStyle name="Style 410" xfId="820" xr:uid="{00000000-0005-0000-0000-000035030000}"/>
    <cellStyle name="Style 410 2" xfId="1120" xr:uid="{A59520CD-6D02-4FDB-BAD8-D55872F7A94C}"/>
    <cellStyle name="Style 411" xfId="821" xr:uid="{00000000-0005-0000-0000-000036030000}"/>
    <cellStyle name="Style 438" xfId="822" xr:uid="{00000000-0005-0000-0000-000037030000}"/>
    <cellStyle name="Style 439" xfId="823" xr:uid="{00000000-0005-0000-0000-000038030000}"/>
    <cellStyle name="Style 439 2" xfId="1121" xr:uid="{A72B1DD3-2434-4C0D-95A4-C77C4ECA20DF}"/>
    <cellStyle name="Style 440" xfId="824" xr:uid="{00000000-0005-0000-0000-000039030000}"/>
    <cellStyle name="Style 440 2" xfId="1122" xr:uid="{663BACBC-B65C-4431-9981-39C51A04F4DD}"/>
    <cellStyle name="Style 441" xfId="825" xr:uid="{00000000-0005-0000-0000-00003A030000}"/>
    <cellStyle name="Style 441 2" xfId="1123" xr:uid="{4135C63E-0947-4A8D-AA2A-C5E7DCE22E56}"/>
    <cellStyle name="Style 442" xfId="826" xr:uid="{00000000-0005-0000-0000-00003B030000}"/>
    <cellStyle name="Style 442 2" xfId="1124" xr:uid="{2AE68C93-B73E-4562-BFBC-06E4586A2897}"/>
    <cellStyle name="Style 443" xfId="827" xr:uid="{00000000-0005-0000-0000-00003C030000}"/>
    <cellStyle name="Style 444" xfId="828" xr:uid="{00000000-0005-0000-0000-00003D030000}"/>
    <cellStyle name="Style 445" xfId="829" xr:uid="{00000000-0005-0000-0000-00003E030000}"/>
    <cellStyle name="Style 446" xfId="830" xr:uid="{00000000-0005-0000-0000-00003F030000}"/>
    <cellStyle name="Style 447" xfId="831" xr:uid="{00000000-0005-0000-0000-000040030000}"/>
    <cellStyle name="Style 448" xfId="832" xr:uid="{00000000-0005-0000-0000-000041030000}"/>
    <cellStyle name="Style 449" xfId="833" xr:uid="{00000000-0005-0000-0000-000042030000}"/>
    <cellStyle name="Style 450" xfId="834" xr:uid="{00000000-0005-0000-0000-000043030000}"/>
    <cellStyle name="Style 451" xfId="835" xr:uid="{00000000-0005-0000-0000-000044030000}"/>
    <cellStyle name="Style 451 2" xfId="1125" xr:uid="{C5A59601-F0FA-4AF3-9FEC-313853A71935}"/>
    <cellStyle name="Style 452" xfId="836" xr:uid="{00000000-0005-0000-0000-000045030000}"/>
    <cellStyle name="Style 452 2" xfId="1126" xr:uid="{24CEEF8B-23AD-4984-923C-3087D28A7E88}"/>
    <cellStyle name="Style 453" xfId="837" xr:uid="{00000000-0005-0000-0000-000046030000}"/>
    <cellStyle name="Style 453 2" xfId="1127" xr:uid="{1D636541-D624-4C02-9D28-4AB2970F9046}"/>
    <cellStyle name="Style 459" xfId="838" xr:uid="{00000000-0005-0000-0000-000047030000}"/>
    <cellStyle name="Style 460" xfId="839" xr:uid="{00000000-0005-0000-0000-000048030000}"/>
    <cellStyle name="Style 461" xfId="840" xr:uid="{00000000-0005-0000-0000-000049030000}"/>
    <cellStyle name="Style 462" xfId="841" xr:uid="{00000000-0005-0000-0000-00004A030000}"/>
    <cellStyle name="Style 463" xfId="842" xr:uid="{00000000-0005-0000-0000-00004B030000}"/>
    <cellStyle name="Style 464" xfId="843" xr:uid="{00000000-0005-0000-0000-00004C030000}"/>
    <cellStyle name="Style 465" xfId="844" xr:uid="{00000000-0005-0000-0000-00004D030000}"/>
    <cellStyle name="Style 466" xfId="845" xr:uid="{00000000-0005-0000-0000-00004E030000}"/>
    <cellStyle name="Style 467" xfId="846" xr:uid="{00000000-0005-0000-0000-00004F030000}"/>
    <cellStyle name="Style 468" xfId="847" xr:uid="{00000000-0005-0000-0000-000050030000}"/>
    <cellStyle name="Style 469" xfId="848" xr:uid="{00000000-0005-0000-0000-000051030000}"/>
    <cellStyle name="Style 469 2" xfId="1128" xr:uid="{265A649E-3AB4-4575-9710-ED11D2E0AC69}"/>
    <cellStyle name="Style 470" xfId="849" xr:uid="{00000000-0005-0000-0000-000052030000}"/>
    <cellStyle name="Style 471" xfId="850" xr:uid="{00000000-0005-0000-0000-000053030000}"/>
    <cellStyle name="Style 482" xfId="851" xr:uid="{00000000-0005-0000-0000-000054030000}"/>
    <cellStyle name="Style 483" xfId="852" xr:uid="{00000000-0005-0000-0000-000055030000}"/>
    <cellStyle name="Style 483 2" xfId="1129" xr:uid="{1EAB7D4D-2901-4E42-9867-0F835EEE6DDF}"/>
    <cellStyle name="Style 484" xfId="853" xr:uid="{00000000-0005-0000-0000-000056030000}"/>
    <cellStyle name="Style 484 2" xfId="1130" xr:uid="{CDBF2CE1-93EE-4D79-8650-7918B7AFC21C}"/>
    <cellStyle name="Style 485" xfId="854" xr:uid="{00000000-0005-0000-0000-000057030000}"/>
    <cellStyle name="Style 485 2" xfId="1131" xr:uid="{9C50D88E-BBDC-45E5-BD8D-3789E2EE915D}"/>
    <cellStyle name="Style 486" xfId="855" xr:uid="{00000000-0005-0000-0000-000058030000}"/>
    <cellStyle name="Style 486 2" xfId="1132" xr:uid="{C27DFD8D-5A55-4A6F-9728-349421AACDFE}"/>
    <cellStyle name="Style 487" xfId="856" xr:uid="{00000000-0005-0000-0000-000059030000}"/>
    <cellStyle name="Style 488" xfId="857" xr:uid="{00000000-0005-0000-0000-00005A030000}"/>
    <cellStyle name="Style 489" xfId="858" xr:uid="{00000000-0005-0000-0000-00005B030000}"/>
    <cellStyle name="Style 490" xfId="859" xr:uid="{00000000-0005-0000-0000-00005C030000}"/>
    <cellStyle name="Style 491" xfId="860" xr:uid="{00000000-0005-0000-0000-00005D030000}"/>
    <cellStyle name="Style 492" xfId="861" xr:uid="{00000000-0005-0000-0000-00005E030000}"/>
    <cellStyle name="Style 493" xfId="862" xr:uid="{00000000-0005-0000-0000-00005F030000}"/>
    <cellStyle name="Style 494" xfId="863" xr:uid="{00000000-0005-0000-0000-000060030000}"/>
    <cellStyle name="Style 495" xfId="864" xr:uid="{00000000-0005-0000-0000-000061030000}"/>
    <cellStyle name="Style 495 2" xfId="1133" xr:uid="{488EB3A2-16A2-496A-81DA-29AFF42F141E}"/>
    <cellStyle name="Style 496" xfId="865" xr:uid="{00000000-0005-0000-0000-000062030000}"/>
    <cellStyle name="Style 496 2" xfId="1134" xr:uid="{D1C0C6D6-A4B4-4029-9D66-B517789CAC3C}"/>
    <cellStyle name="Style 497" xfId="866" xr:uid="{00000000-0005-0000-0000-000063030000}"/>
    <cellStyle name="Style 498" xfId="867" xr:uid="{00000000-0005-0000-0000-000064030000}"/>
    <cellStyle name="Style 499" xfId="868" xr:uid="{00000000-0005-0000-0000-000065030000}"/>
    <cellStyle name="Style 500" xfId="869" xr:uid="{00000000-0005-0000-0000-000066030000}"/>
    <cellStyle name="Style 501" xfId="870" xr:uid="{00000000-0005-0000-0000-000067030000}"/>
    <cellStyle name="Style 502" xfId="871" xr:uid="{00000000-0005-0000-0000-000068030000}"/>
    <cellStyle name="Style 503" xfId="872" xr:uid="{00000000-0005-0000-0000-000069030000}"/>
    <cellStyle name="Style 504" xfId="873" xr:uid="{00000000-0005-0000-0000-00006A030000}"/>
    <cellStyle name="Style 521" xfId="874" xr:uid="{00000000-0005-0000-0000-00006B030000}"/>
    <cellStyle name="Style 522" xfId="875" xr:uid="{00000000-0005-0000-0000-00006C030000}"/>
    <cellStyle name="Style 523" xfId="876" xr:uid="{00000000-0005-0000-0000-00006D030000}"/>
    <cellStyle name="Style 523 2" xfId="1135" xr:uid="{1EC4FEF9-1BF2-4879-8BC4-5DA877AB0EE2}"/>
    <cellStyle name="Style 524" xfId="877" xr:uid="{00000000-0005-0000-0000-00006E030000}"/>
    <cellStyle name="Style 524 2" xfId="1136" xr:uid="{BDFA4805-35CD-4C4E-8FBF-2F6BDFE42668}"/>
    <cellStyle name="Style 525" xfId="878" xr:uid="{00000000-0005-0000-0000-00006F030000}"/>
    <cellStyle name="Style 525 2" xfId="1137" xr:uid="{AC4779B1-1773-4C0D-8BE9-3EB2DE851B9C}"/>
    <cellStyle name="Style 526" xfId="879" xr:uid="{00000000-0005-0000-0000-000070030000}"/>
    <cellStyle name="Style 526 2" xfId="1138" xr:uid="{F43EA3EA-0684-4644-BA18-2BA608ECD8AB}"/>
    <cellStyle name="Style 527" xfId="880" xr:uid="{00000000-0005-0000-0000-000071030000}"/>
    <cellStyle name="Style 528" xfId="881" xr:uid="{00000000-0005-0000-0000-000072030000}"/>
    <cellStyle name="Style 529" xfId="882" xr:uid="{00000000-0005-0000-0000-000073030000}"/>
    <cellStyle name="Style 530" xfId="883" xr:uid="{00000000-0005-0000-0000-000074030000}"/>
    <cellStyle name="Style 531" xfId="884" xr:uid="{00000000-0005-0000-0000-000075030000}"/>
    <cellStyle name="Style 532" xfId="885" xr:uid="{00000000-0005-0000-0000-000076030000}"/>
    <cellStyle name="Style 533" xfId="886" xr:uid="{00000000-0005-0000-0000-000077030000}"/>
    <cellStyle name="Style 534" xfId="887" xr:uid="{00000000-0005-0000-0000-000078030000}"/>
    <cellStyle name="Style 535" xfId="888" xr:uid="{00000000-0005-0000-0000-000079030000}"/>
    <cellStyle name="Style 536" xfId="889" xr:uid="{00000000-0005-0000-0000-00007A030000}"/>
    <cellStyle name="Style 537" xfId="890" xr:uid="{00000000-0005-0000-0000-00007B030000}"/>
    <cellStyle name="Style 538" xfId="891" xr:uid="{00000000-0005-0000-0000-00007C030000}"/>
    <cellStyle name="Style 539" xfId="892" xr:uid="{00000000-0005-0000-0000-00007D030000}"/>
    <cellStyle name="Style 540" xfId="893" xr:uid="{00000000-0005-0000-0000-00007E030000}"/>
    <cellStyle name="Style 541" xfId="894" xr:uid="{00000000-0005-0000-0000-00007F030000}"/>
    <cellStyle name="Style 541 2" xfId="1139" xr:uid="{C763687C-6FCA-40D8-B680-A5BF3A24BCAE}"/>
    <cellStyle name="Style 589" xfId="895" xr:uid="{00000000-0005-0000-0000-000080030000}"/>
    <cellStyle name="Style 590" xfId="896" xr:uid="{00000000-0005-0000-0000-000081030000}"/>
    <cellStyle name="Style 591" xfId="897" xr:uid="{00000000-0005-0000-0000-000082030000}"/>
    <cellStyle name="Style 592" xfId="898" xr:uid="{00000000-0005-0000-0000-000083030000}"/>
    <cellStyle name="Style 593" xfId="899" xr:uid="{00000000-0005-0000-0000-000084030000}"/>
    <cellStyle name="Style 594" xfId="900" xr:uid="{00000000-0005-0000-0000-000085030000}"/>
    <cellStyle name="Style 595" xfId="901" xr:uid="{00000000-0005-0000-0000-000086030000}"/>
    <cellStyle name="Style 596" xfId="902" xr:uid="{00000000-0005-0000-0000-000087030000}"/>
    <cellStyle name="Style 597" xfId="903" xr:uid="{00000000-0005-0000-0000-000088030000}"/>
    <cellStyle name="Style 598" xfId="904" xr:uid="{00000000-0005-0000-0000-000089030000}"/>
    <cellStyle name="Style 599" xfId="905" xr:uid="{00000000-0005-0000-0000-00008A030000}"/>
    <cellStyle name="Style 599 2" xfId="1140" xr:uid="{D8D400D4-A3B6-4CE4-A263-090AED667781}"/>
    <cellStyle name="Style 600" xfId="906" xr:uid="{00000000-0005-0000-0000-00008B030000}"/>
    <cellStyle name="Style 601" xfId="907" xr:uid="{00000000-0005-0000-0000-00008C030000}"/>
    <cellStyle name="Style 616" xfId="908" xr:uid="{00000000-0005-0000-0000-00008D030000}"/>
    <cellStyle name="Style 617" xfId="909" xr:uid="{00000000-0005-0000-0000-00008E030000}"/>
    <cellStyle name="Style 618" xfId="910" xr:uid="{00000000-0005-0000-0000-00008F030000}"/>
    <cellStyle name="Style 619" xfId="911" xr:uid="{00000000-0005-0000-0000-000090030000}"/>
    <cellStyle name="Style 620" xfId="912" xr:uid="{00000000-0005-0000-0000-000091030000}"/>
    <cellStyle name="Style 621" xfId="913" xr:uid="{00000000-0005-0000-0000-000092030000}"/>
    <cellStyle name="Style 622" xfId="914" xr:uid="{00000000-0005-0000-0000-000093030000}"/>
    <cellStyle name="Style 623" xfId="915" xr:uid="{00000000-0005-0000-0000-000094030000}"/>
    <cellStyle name="Style 624" xfId="916" xr:uid="{00000000-0005-0000-0000-000095030000}"/>
    <cellStyle name="Style 625" xfId="917" xr:uid="{00000000-0005-0000-0000-000096030000}"/>
    <cellStyle name="Style 626" xfId="918" xr:uid="{00000000-0005-0000-0000-000097030000}"/>
    <cellStyle name="Style 626 2" xfId="1141" xr:uid="{84A0C4BD-9865-479B-8556-CF865D56ABC6}"/>
    <cellStyle name="Style 627" xfId="919" xr:uid="{00000000-0005-0000-0000-000098030000}"/>
    <cellStyle name="Style 628" xfId="920" xr:uid="{00000000-0005-0000-0000-000099030000}"/>
    <cellStyle name="Style 629" xfId="921" xr:uid="{00000000-0005-0000-0000-00009A030000}"/>
    <cellStyle name="Style 630" xfId="922" xr:uid="{00000000-0005-0000-0000-00009B030000}"/>
    <cellStyle name="Style 631" xfId="923" xr:uid="{00000000-0005-0000-0000-00009C030000}"/>
    <cellStyle name="Style 632" xfId="924" xr:uid="{00000000-0005-0000-0000-00009D030000}"/>
    <cellStyle name="Style 633" xfId="925" xr:uid="{00000000-0005-0000-0000-00009E030000}"/>
    <cellStyle name="Style 634" xfId="926" xr:uid="{00000000-0005-0000-0000-00009F030000}"/>
    <cellStyle name="Style 655" xfId="927" xr:uid="{00000000-0005-0000-0000-0000A0030000}"/>
    <cellStyle name="Style 656" xfId="928" xr:uid="{00000000-0005-0000-0000-0000A1030000}"/>
    <cellStyle name="Style 657" xfId="929" xr:uid="{00000000-0005-0000-0000-0000A2030000}"/>
    <cellStyle name="Style 658" xfId="930" xr:uid="{00000000-0005-0000-0000-0000A3030000}"/>
    <cellStyle name="Style 659" xfId="931" xr:uid="{00000000-0005-0000-0000-0000A4030000}"/>
    <cellStyle name="Style 660" xfId="932" xr:uid="{00000000-0005-0000-0000-0000A5030000}"/>
    <cellStyle name="Style 661" xfId="933" xr:uid="{00000000-0005-0000-0000-0000A6030000}"/>
    <cellStyle name="Style 661 2" xfId="1142" xr:uid="{2BDEBC9C-B30B-43F8-8EAE-99EDA82B3DB7}"/>
    <cellStyle name="Style 662" xfId="934" xr:uid="{00000000-0005-0000-0000-0000A7030000}"/>
    <cellStyle name="Style 663" xfId="935" xr:uid="{00000000-0005-0000-0000-0000A8030000}"/>
    <cellStyle name="Style 663 2" xfId="1143" xr:uid="{02AF3F6D-10AD-4373-B0F7-0D4267C67729}"/>
    <cellStyle name="Style 664" xfId="936" xr:uid="{00000000-0005-0000-0000-0000A9030000}"/>
    <cellStyle name="Style 664 2" xfId="1144" xr:uid="{22BC5ADF-2656-4415-AFD2-1EC650BE8EAC}"/>
    <cellStyle name="Style 665" xfId="937" xr:uid="{00000000-0005-0000-0000-0000AA030000}"/>
    <cellStyle name="Style 666" xfId="938" xr:uid="{00000000-0005-0000-0000-0000AB030000}"/>
    <cellStyle name="Style 692" xfId="939" xr:uid="{00000000-0005-0000-0000-0000AC030000}"/>
    <cellStyle name="Style 692 2" xfId="1145" xr:uid="{A341F55A-BBA1-4CAF-8035-DE60018F41E1}"/>
    <cellStyle name="Style 693" xfId="940" xr:uid="{00000000-0005-0000-0000-0000AD030000}"/>
    <cellStyle name="Style 694" xfId="941" xr:uid="{00000000-0005-0000-0000-0000AE030000}"/>
    <cellStyle name="Style 694 2" xfId="1146" xr:uid="{D6E1347C-17DD-4F87-900D-48D6C43AFCDD}"/>
    <cellStyle name="Style 695" xfId="942" xr:uid="{00000000-0005-0000-0000-0000AF030000}"/>
    <cellStyle name="Style 695 2" xfId="1147" xr:uid="{2935E092-9A3A-48ED-AEC9-AC5FAFC6AA17}"/>
    <cellStyle name="Style 696" xfId="943" xr:uid="{00000000-0005-0000-0000-0000B0030000}"/>
    <cellStyle name="Style 697" xfId="944" xr:uid="{00000000-0005-0000-0000-0000B1030000}"/>
    <cellStyle name="Style 698" xfId="945" xr:uid="{00000000-0005-0000-0000-0000B2030000}"/>
    <cellStyle name="Style 698 2" xfId="1148" xr:uid="{35805B40-ADA2-4FD4-9B77-6C2E66F838F4}"/>
    <cellStyle name="Style 699" xfId="946" xr:uid="{00000000-0005-0000-0000-0000B3030000}"/>
    <cellStyle name="Style 699 2" xfId="1149" xr:uid="{F7CC9542-5A36-4BB1-8D52-B49510569290}"/>
    <cellStyle name="STYLE1" xfId="947" xr:uid="{00000000-0005-0000-0000-0000B4030000}"/>
    <cellStyle name="STYLE1 2" xfId="948" xr:uid="{00000000-0005-0000-0000-0000B5030000}"/>
    <cellStyle name="STYLE2" xfId="949" xr:uid="{00000000-0005-0000-0000-0000B6030000}"/>
    <cellStyle name="Style3" xfId="950" xr:uid="{00000000-0005-0000-0000-0000B7030000}"/>
    <cellStyle name="STYLE3 2" xfId="951" xr:uid="{00000000-0005-0000-0000-0000B8030000}"/>
    <cellStyle name="STYLE3 3" xfId="952" xr:uid="{00000000-0005-0000-0000-0000B9030000}"/>
    <cellStyle name="STYLE3_2009 Master rev 9-3" xfId="953" xr:uid="{00000000-0005-0000-0000-0000BA030000}"/>
    <cellStyle name="STYLE4" xfId="954" xr:uid="{00000000-0005-0000-0000-0000BB030000}"/>
    <cellStyle name="STYLE5" xfId="955" xr:uid="{00000000-0005-0000-0000-0000BC030000}"/>
    <cellStyle name="Subhead" xfId="956" xr:uid="{00000000-0005-0000-0000-0000BD030000}"/>
    <cellStyle name="Subtitle" xfId="957" xr:uid="{00000000-0005-0000-0000-0000BE030000}"/>
    <cellStyle name="SubTotal" xfId="958" xr:uid="{00000000-0005-0000-0000-0000BF030000}"/>
    <cellStyle name="SubTotal 2" xfId="1150" xr:uid="{F6CE9DC3-6299-4F9A-937F-FF3CE9772847}"/>
    <cellStyle name="Table Col Head" xfId="959" xr:uid="{00000000-0005-0000-0000-0000C0030000}"/>
    <cellStyle name="Table Head" xfId="960" xr:uid="{00000000-0005-0000-0000-0000C1030000}"/>
    <cellStyle name="Table Head Aligned" xfId="961" xr:uid="{00000000-0005-0000-0000-0000C2030000}"/>
    <cellStyle name="Table Head Aligned 2" xfId="1151" xr:uid="{91333BC8-6E17-4E69-B1A2-3B2557ED0BB3}"/>
    <cellStyle name="Table Head Blue" xfId="962" xr:uid="{00000000-0005-0000-0000-0000C3030000}"/>
    <cellStyle name="Table Head Green" xfId="963" xr:uid="{00000000-0005-0000-0000-0000C4030000}"/>
    <cellStyle name="Table Head Green 2" xfId="1152" xr:uid="{891F1AC0-B9C1-4493-9F88-6A2DA3858ED2}"/>
    <cellStyle name="Table Label" xfId="964" xr:uid="{00000000-0005-0000-0000-0000C5030000}"/>
    <cellStyle name="Table Label 2" xfId="1153" xr:uid="{61F09B09-EAFC-43F8-B62A-1DE46DE20E8A}"/>
    <cellStyle name="Table Sub Head" xfId="965" xr:uid="{00000000-0005-0000-0000-0000C6030000}"/>
    <cellStyle name="Table Title" xfId="966" xr:uid="{00000000-0005-0000-0000-0000C7030000}"/>
    <cellStyle name="Table Units" xfId="967" xr:uid="{00000000-0005-0000-0000-0000C8030000}"/>
    <cellStyle name="TableFooter" xfId="968" xr:uid="{00000000-0005-0000-0000-0000C9030000}"/>
    <cellStyle name="TableIndent" xfId="969" xr:uid="{00000000-0005-0000-0000-0000CA030000}"/>
    <cellStyle name="TableTitle" xfId="970" xr:uid="{00000000-0005-0000-0000-0000CB030000}"/>
    <cellStyle name="tcn" xfId="971" xr:uid="{00000000-0005-0000-0000-0000CC030000}"/>
    <cellStyle name="Text 8" xfId="972" xr:uid="{00000000-0005-0000-0000-0000CD030000}"/>
    <cellStyle name="Text Indent A" xfId="973" xr:uid="{00000000-0005-0000-0000-0000CE030000}"/>
    <cellStyle name="Text Indent B" xfId="974" xr:uid="{00000000-0005-0000-0000-0000CF030000}"/>
    <cellStyle name="Text Indent C" xfId="975" xr:uid="{00000000-0005-0000-0000-0000D0030000}"/>
    <cellStyle name="Times 10" xfId="976" xr:uid="{00000000-0005-0000-0000-0000D1030000}"/>
    <cellStyle name="Times 12" xfId="977" xr:uid="{00000000-0005-0000-0000-0000D2030000}"/>
    <cellStyle name="Times New Roman" xfId="978" xr:uid="{00000000-0005-0000-0000-0000D3030000}"/>
    <cellStyle name="times roman" xfId="979" xr:uid="{00000000-0005-0000-0000-0000D4030000}"/>
    <cellStyle name="Title1" xfId="980" xr:uid="{00000000-0005-0000-0000-0000D5030000}"/>
    <cellStyle name="Title10" xfId="981" xr:uid="{00000000-0005-0000-0000-0000D6030000}"/>
    <cellStyle name="Title2" xfId="982" xr:uid="{00000000-0005-0000-0000-0000D7030000}"/>
    <cellStyle name="Title2 2" xfId="1154" xr:uid="{8CBBA814-ACED-49F9-9502-D9DCD10D54FC}"/>
    <cellStyle name="Title8" xfId="983" xr:uid="{00000000-0005-0000-0000-0000D8030000}"/>
    <cellStyle name="Title8Left" xfId="984" xr:uid="{00000000-0005-0000-0000-0000D9030000}"/>
    <cellStyle name="TitleCenter" xfId="985" xr:uid="{00000000-0005-0000-0000-0000DA030000}"/>
    <cellStyle name="TitleLeft" xfId="986" xr:uid="{00000000-0005-0000-0000-0000DB030000}"/>
    <cellStyle name="tn" xfId="987" xr:uid="{00000000-0005-0000-0000-0000DC030000}"/>
    <cellStyle name="Top and Bottom Border" xfId="988" xr:uid="{00000000-0005-0000-0000-0000DD030000}"/>
    <cellStyle name="Top and Bottom Border 2" xfId="1155" xr:uid="{3C370EFF-C286-4F51-81DF-FD82BBB57F3F}"/>
    <cellStyle name="TopBot - Style2" xfId="989" xr:uid="{00000000-0005-0000-0000-0000DE030000}"/>
    <cellStyle name="TopBot - Style2 2" xfId="1156" xr:uid="{32743B0F-EBB3-4F50-BC05-EB2F53DD3782}"/>
    <cellStyle name="topline" xfId="990" xr:uid="{00000000-0005-0000-0000-0000DF030000}"/>
    <cellStyle name="TransVal" xfId="991" xr:uid="{00000000-0005-0000-0000-0000E0030000}"/>
    <cellStyle name="ubordinated Debt" xfId="992" xr:uid="{00000000-0005-0000-0000-0000E1030000}"/>
    <cellStyle name="underline 1 decimal" xfId="993" xr:uid="{00000000-0005-0000-0000-0000E2030000}"/>
    <cellStyle name="underline 2 decimals" xfId="994" xr:uid="{00000000-0005-0000-0000-0000E3030000}"/>
    <cellStyle name="underline flush left" xfId="995" xr:uid="{00000000-0005-0000-0000-0000E4030000}"/>
    <cellStyle name="underline no decimals" xfId="996" xr:uid="{00000000-0005-0000-0000-0000E5030000}"/>
    <cellStyle name="User_Defined_C" xfId="997" xr:uid="{00000000-0005-0000-0000-0000E6030000}"/>
    <cellStyle name="White" xfId="998" xr:uid="{00000000-0005-0000-0000-0000E7030000}"/>
    <cellStyle name="y" xfId="999" xr:uid="{00000000-0005-0000-0000-0000E8030000}"/>
    <cellStyle name="y_Citrix_2pgr2" xfId="1000" xr:uid="{00000000-0005-0000-0000-0000E9030000}"/>
    <cellStyle name="y_Iron-Steel" xfId="1001" xr:uid="{00000000-0005-0000-0000-0000EA030000}"/>
    <cellStyle name="y_MERQ_6-14_V8" xfId="1002" xr:uid="{00000000-0005-0000-0000-0000EB030000}"/>
    <cellStyle name="y_RATL_SRNA synergies" xfId="1003" xr:uid="{00000000-0005-0000-0000-0000EC030000}"/>
    <cellStyle name="y_Valuation_Jan2" xfId="1004" xr:uid="{00000000-0005-0000-0000-0000ED030000}"/>
    <cellStyle name="Year" xfId="1005" xr:uid="{00000000-0005-0000-0000-0000EE030000}"/>
    <cellStyle name="Yen" xfId="1006" xr:uid="{00000000-0005-0000-0000-0000EF030000}"/>
    <cellStyle name="YES NO" xfId="1007" xr:uid="{00000000-0005-0000-0000-0000F0030000}"/>
    <cellStyle name="Zaph Call 11pt" xfId="1008" xr:uid="{00000000-0005-0000-0000-0000F1030000}"/>
    <cellStyle name="Zurich" xfId="1009" xr:uid="{00000000-0005-0000-0000-0000F2030000}"/>
    <cellStyle name="䕃⹌塅Eed Cell" xfId="1010" xr:uid="{00000000-0005-0000-0000-0000F3030000}"/>
  </cellStyles>
  <dxfs count="0"/>
  <tableStyles count="0" defaultTableStyle="TableStyleMedium9" defaultPivotStyle="PivotStyleLight16"/>
  <colors>
    <mruColors>
      <color rgb="FF006600"/>
      <color rgb="FF0000FF"/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11</xdr:row>
      <xdr:rowOff>158749</xdr:rowOff>
    </xdr:from>
    <xdr:to>
      <xdr:col>11</xdr:col>
      <xdr:colOff>790574</xdr:colOff>
      <xdr:row>20</xdr:row>
      <xdr:rowOff>134937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3532D35D-8A5A-437C-8A0A-6392DB7DA24F}"/>
            </a:ext>
          </a:extLst>
        </xdr:cNvPr>
        <xdr:cNvSpPr>
          <a:spLocks noChangeArrowheads="1"/>
        </xdr:cNvSpPr>
      </xdr:nvSpPr>
      <xdr:spPr bwMode="auto">
        <a:xfrm>
          <a:off x="5119688" y="1952624"/>
          <a:ext cx="3441699" cy="142081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just" rtl="0">
            <a:defRPr sz="1000"/>
          </a:pPr>
          <a:r>
            <a:rPr lang="en-US" sz="900">
              <a:solidFill>
                <a:srgbClr val="0000FF"/>
              </a:solidFill>
            </a:rPr>
            <a:t>To develop a premium lake-oriented residential community adjacent to Beachwalk Resort in Michigan City, Indiana. The strategy focuses on delivering fully entitled, horizontally improved lots with resort-quality amenities and executing a lot sales program to capitalize on constrained lake-adjacent land supply within Northwest Indiana’s established vacation home corridor. The project targets affluent second-home buyers, investors,</a:t>
          </a:r>
          <a:r>
            <a:rPr lang="en-US" sz="900" baseline="0">
              <a:solidFill>
                <a:srgbClr val="0000FF"/>
              </a:solidFill>
            </a:rPr>
            <a:t> and empty nestors</a:t>
          </a:r>
          <a:r>
            <a:rPr lang="en-US" sz="900">
              <a:solidFill>
                <a:srgbClr val="0000FF"/>
              </a:solidFill>
            </a:rPr>
            <a:t> from the Chicago metropolitan area, a historically durable demand base supporting premium pricing and absorption</a:t>
          </a:r>
          <a:r>
            <a:rPr lang="en-US" sz="1000">
              <a:solidFill>
                <a:srgbClr val="0000FF"/>
              </a:solidFill>
            </a:rPr>
            <a:t>.</a:t>
          </a:r>
          <a:endParaRPr lang="en-US" sz="1000" b="0" i="0" u="none" strike="noStrike" baseline="0">
            <a:solidFill>
              <a:srgbClr val="0000FF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111126</xdr:colOff>
      <xdr:row>34</xdr:row>
      <xdr:rowOff>12560</xdr:rowOff>
    </xdr:from>
    <xdr:to>
      <xdr:col>7</xdr:col>
      <xdr:colOff>0</xdr:colOff>
      <xdr:row>52</xdr:row>
      <xdr:rowOff>12010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4787F04-6FE8-4E51-A298-A7104DA769FE}"/>
            </a:ext>
          </a:extLst>
        </xdr:cNvPr>
        <xdr:cNvSpPr>
          <a:spLocks noChangeArrowheads="1"/>
        </xdr:cNvSpPr>
      </xdr:nvSpPr>
      <xdr:spPr bwMode="auto">
        <a:xfrm>
          <a:off x="111126" y="5513248"/>
          <a:ext cx="5135562" cy="28728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just" rtl="0">
            <a:defRPr sz="1000"/>
          </a:pPr>
          <a:r>
            <a:rPr lang="en-US" sz="900" b="1" i="0" u="none" strike="noStrike" baseline="0">
              <a:solidFill>
                <a:srgbClr val="0000FF"/>
              </a:solidFill>
              <a:latin typeface="Arial Narrow"/>
            </a:rPr>
            <a:t>Entitlements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Entitlements process assumed at 12 months, inclusive of design, engineering, plat approval, engineering review, and final municipal approvals.</a:t>
          </a:r>
        </a:p>
        <a:p>
          <a:pPr marL="0" lvl="0" indent="0" algn="just" rtl="0">
            <a:buFontTx/>
            <a:buNone/>
            <a:defRPr sz="1000"/>
          </a:pPr>
          <a:r>
            <a:rPr lang="en-US" sz="900" b="1" i="0" u="none" strike="noStrike" baseline="0">
              <a:solidFill>
                <a:srgbClr val="0000FF"/>
              </a:solidFill>
              <a:latin typeface="Arial Narrow"/>
              <a:ea typeface="+mn-ea"/>
              <a:cs typeface="+mn-cs"/>
            </a:rPr>
            <a:t>Construction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Horizontal development assumed at 12 months, commecing in Month 13 following entitlement approval and continuing through Month 24.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Scope includes roadway installation, utilities, grading, and amenity construction.</a:t>
          </a:r>
        </a:p>
        <a:p>
          <a:pPr marL="0" indent="0" algn="just" rtl="0">
            <a:buFontTx/>
            <a:buNone/>
            <a:defRPr sz="1000"/>
          </a:pPr>
          <a:r>
            <a:rPr lang="en-US" sz="900" b="1" i="0" u="none" strike="noStrike" baseline="0">
              <a:solidFill>
                <a:srgbClr val="0000FF"/>
              </a:solidFill>
              <a:latin typeface="Arial Narrow"/>
            </a:rPr>
            <a:t>Lot Sales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Presales begin in Month 5 and occur at a velocity of two per month through Month 34.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Sales (closings) are assumed to begin in Month 25 following construction.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After the initial closing of 38 lots, sales velocity modeled at an average of 2 lots per month.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</a:rPr>
            <a:t>Full absorption of 88 lots projected over 46 months and concluding in month 50.</a:t>
          </a:r>
          <a:endParaRPr lang="en-US" sz="900" b="1" i="0" u="none" strike="noStrike" baseline="0">
            <a:solidFill>
              <a:srgbClr val="0000FF"/>
            </a:solidFill>
            <a:latin typeface="Arial Narrow"/>
          </a:endParaRPr>
        </a:p>
        <a:p>
          <a:pPr marL="0" indent="0" algn="just" rtl="0">
            <a:buFontTx/>
            <a:buNone/>
            <a:defRPr sz="1000"/>
          </a:pPr>
          <a:r>
            <a:rPr lang="en-US" sz="900" b="1" i="0" u="none" strike="noStrike" baseline="0">
              <a:solidFill>
                <a:srgbClr val="0000FF"/>
              </a:solidFill>
              <a:latin typeface="Arial Narrow"/>
            </a:rPr>
            <a:t>Pricing Assumptions</a:t>
          </a:r>
          <a:endParaRPr lang="en-US" sz="900" b="1" i="0" u="none" strike="noStrike" baseline="0">
            <a:solidFill>
              <a:srgbClr val="0000FF"/>
            </a:solidFill>
            <a:latin typeface="Arial Narrow"/>
            <a:ea typeface="+mn-ea"/>
            <a:cs typeface="+mn-cs"/>
          </a:endParaRP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  <a:ea typeface="+mn-ea"/>
              <a:cs typeface="+mn-cs"/>
            </a:rPr>
            <a:t>Lots are priced based on specific design intent and location.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  <a:ea typeface="+mn-ea"/>
              <a:cs typeface="+mn-cs"/>
            </a:rPr>
            <a:t>Pricing supported by recent Beachwalk, Whisper Dunes, and area lot and home sales with implied residual land values.</a:t>
          </a:r>
        </a:p>
        <a:p>
          <a:pPr marL="171450" indent="-171450" algn="just" rtl="0">
            <a:buFont typeface="Arial" panose="020B0604020202020204" pitchFamily="34" charset="0"/>
            <a:buChar char="•"/>
            <a:defRPr sz="1000"/>
          </a:pPr>
          <a:r>
            <a:rPr lang="en-US" sz="900" b="0" i="0" u="none" strike="noStrike" baseline="0">
              <a:solidFill>
                <a:srgbClr val="0000FF"/>
              </a:solidFill>
              <a:latin typeface="Arial Narrow"/>
              <a:ea typeface="+mn-ea"/>
              <a:cs typeface="+mn-cs"/>
            </a:rPr>
            <a:t>Modeled pricing reflects a conservative discount to premium Lake Michigan markets in Southwest Michigan.</a:t>
          </a:r>
        </a:p>
      </xdr:txBody>
    </xdr:sp>
    <xdr:clientData/>
  </xdr:twoCellAnchor>
  <xdr:twoCellAnchor editAs="oneCell">
    <xdr:from>
      <xdr:col>13</xdr:col>
      <xdr:colOff>15875</xdr:colOff>
      <xdr:row>5</xdr:row>
      <xdr:rowOff>88900</xdr:rowOff>
    </xdr:from>
    <xdr:to>
      <xdr:col>20</xdr:col>
      <xdr:colOff>34469</xdr:colOff>
      <xdr:row>28</xdr:row>
      <xdr:rowOff>106362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0DC268-5D82-C18D-01FB-5584A8E9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5750" y="922338"/>
          <a:ext cx="4669969" cy="37004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8</xdr:col>
      <xdr:colOff>368616</xdr:colOff>
      <xdr:row>42</xdr:row>
      <xdr:rowOff>73253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7CF05B-A769-42CB-A6CB-AC37AB75C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2250"/>
          <a:ext cx="6143941" cy="44452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71274</xdr:colOff>
      <xdr:row>1</xdr:row>
      <xdr:rowOff>138110</xdr:rowOff>
    </xdr:from>
    <xdr:to>
      <xdr:col>16</xdr:col>
      <xdr:colOff>217731</xdr:colOff>
      <xdr:row>2</xdr:row>
      <xdr:rowOff>319537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55C484-D6CD-45F2-AE34-7E4DD686C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95752" y="392110"/>
          <a:ext cx="2056979" cy="656297"/>
        </a:xfrm>
        <a:prstGeom prst="rect">
          <a:avLst/>
        </a:prstGeom>
      </xdr:spPr>
    </xdr:pic>
    <xdr:clientData/>
  </xdr:twoCellAnchor>
  <xdr:twoCellAnchor>
    <xdr:from>
      <xdr:col>10</xdr:col>
      <xdr:colOff>82826</xdr:colOff>
      <xdr:row>20</xdr:row>
      <xdr:rowOff>107674</xdr:rowOff>
    </xdr:from>
    <xdr:to>
      <xdr:col>11</xdr:col>
      <xdr:colOff>629479</xdr:colOff>
      <xdr:row>24</xdr:row>
      <xdr:rowOff>91108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A854380-D4E8-4D32-8285-2A8AE691D0B5}"/>
            </a:ext>
          </a:extLst>
        </xdr:cNvPr>
        <xdr:cNvSpPr/>
      </xdr:nvSpPr>
      <xdr:spPr>
        <a:xfrm>
          <a:off x="8677551" y="4076424"/>
          <a:ext cx="1238803" cy="6692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95525</xdr:colOff>
      <xdr:row>32</xdr:row>
      <xdr:rowOff>122307</xdr:rowOff>
    </xdr:from>
    <xdr:to>
      <xdr:col>15</xdr:col>
      <xdr:colOff>629478</xdr:colOff>
      <xdr:row>34</xdr:row>
      <xdr:rowOff>105741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A1F72C1-2530-4FC8-A3CF-1082099A897B}"/>
            </a:ext>
          </a:extLst>
        </xdr:cNvPr>
        <xdr:cNvSpPr/>
      </xdr:nvSpPr>
      <xdr:spPr>
        <a:xfrm>
          <a:off x="11468375" y="6154807"/>
          <a:ext cx="1229278" cy="31998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8283</xdr:colOff>
      <xdr:row>24</xdr:row>
      <xdr:rowOff>91108</xdr:rowOff>
    </xdr:from>
    <xdr:to>
      <xdr:col>17</xdr:col>
      <xdr:colOff>0</xdr:colOff>
      <xdr:row>24</xdr:row>
      <xdr:rowOff>91108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53DCFE2-338F-44FF-BB0E-CB23009430E8}"/>
            </a:ext>
          </a:extLst>
        </xdr:cNvPr>
        <xdr:cNvCxnSpPr/>
      </xdr:nvCxnSpPr>
      <xdr:spPr>
        <a:xfrm>
          <a:off x="11458" y="4745658"/>
          <a:ext cx="1375382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8283</xdr:colOff>
      <xdr:row>14</xdr:row>
      <xdr:rowOff>105054</xdr:rowOff>
    </xdr:from>
    <xdr:to>
      <xdr:col>17</xdr:col>
      <xdr:colOff>0</xdr:colOff>
      <xdr:row>14</xdr:row>
      <xdr:rowOff>105054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37A185F-8C75-44CD-8B9E-D253A4E45EE8}"/>
            </a:ext>
          </a:extLst>
        </xdr:cNvPr>
        <xdr:cNvCxnSpPr/>
      </xdr:nvCxnSpPr>
      <xdr:spPr>
        <a:xfrm>
          <a:off x="11458" y="3045104"/>
          <a:ext cx="1375064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11458</xdr:colOff>
      <xdr:row>28</xdr:row>
      <xdr:rowOff>96216</xdr:rowOff>
    </xdr:from>
    <xdr:to>
      <xdr:col>17</xdr:col>
      <xdr:colOff>0</xdr:colOff>
      <xdr:row>28</xdr:row>
      <xdr:rowOff>96216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70F3CEE-7B90-4CBA-B790-DCF7823B3D9D}"/>
            </a:ext>
          </a:extLst>
        </xdr:cNvPr>
        <xdr:cNvCxnSpPr/>
      </xdr:nvCxnSpPr>
      <xdr:spPr>
        <a:xfrm>
          <a:off x="8283" y="5439741"/>
          <a:ext cx="1375382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beacon.schneidercorp.com/Application.aspx?AppID=205&amp;LayerID=2736&amp;PageTypeID=4&amp;PageID=1531&amp;Q=859830210&amp;KeyValue=460121426126000022" TargetMode="External"/><Relationship Id="rId13" Type="http://schemas.openxmlformats.org/officeDocument/2006/relationships/hyperlink" Target="https://beacon.schneidercorp.com/Application.aspx?AppID=205&amp;LayerID=2736&amp;PageTypeID=4&amp;PageID=1531&amp;KeyValue=460121476117000022" TargetMode="External"/><Relationship Id="rId18" Type="http://schemas.openxmlformats.org/officeDocument/2006/relationships/hyperlink" Target="https://beacon.schneidercorp.com/Application.aspx?AppID=205&amp;LayerID=2736&amp;PageTypeID=4&amp;PageID=1531&amp;KeyValue=460121476064000022" TargetMode="External"/><Relationship Id="rId26" Type="http://schemas.openxmlformats.org/officeDocument/2006/relationships/hyperlink" Target="https://beacon.schneidercorp.com/Application.aspx?AppID=205&amp;LayerID=2736&amp;PageTypeID=4&amp;PageID=1531&amp;KeyValue=460121426135000022" TargetMode="External"/><Relationship Id="rId3" Type="http://schemas.openxmlformats.org/officeDocument/2006/relationships/hyperlink" Target="https://beacon.schneidercorp.com/Application.aspx?AppID=346&amp;LayerID=4427&amp;PageTypeID=1&amp;PageID=2614&amp;KeyValue=11-41-4850-0052-00-4" TargetMode="External"/><Relationship Id="rId21" Type="http://schemas.openxmlformats.org/officeDocument/2006/relationships/hyperlink" Target="https://beacon.schneidercorp.com/Application.aspx?AppID=205&amp;LayerID=2736&amp;PageTypeID=4&amp;PageID=1531&amp;KeyValue=460121476067000022" TargetMode="External"/><Relationship Id="rId7" Type="http://schemas.openxmlformats.org/officeDocument/2006/relationships/hyperlink" Target="https://beacon.schneidercorp.com/Application.aspx?AppID=205&amp;LayerID=2736&amp;PageTypeID=4&amp;PageID=1531&amp;KeyValue=460121476026000022" TargetMode="External"/><Relationship Id="rId12" Type="http://schemas.openxmlformats.org/officeDocument/2006/relationships/hyperlink" Target="https://beacon.schneidercorp.com/Application.aspx?AppID=205&amp;LayerID=2736&amp;PageTypeID=4&amp;PageID=1531&amp;KeyValue=460121476116000022" TargetMode="External"/><Relationship Id="rId17" Type="http://schemas.openxmlformats.org/officeDocument/2006/relationships/hyperlink" Target="https://beacon.schneidercorp.com/Application.aspx?AppID=205&amp;LayerID=2736&amp;PageTypeID=4&amp;PageID=1531&amp;KeyValue=460121476063000022" TargetMode="External"/><Relationship Id="rId25" Type="http://schemas.openxmlformats.org/officeDocument/2006/relationships/hyperlink" Target="https://beacon.schneidercorp.com/Application.aspx?AppID=205&amp;LayerID=2736&amp;PageTypeID=4&amp;PageID=1531&amp;KeyValue=460121426127000022" TargetMode="External"/><Relationship Id="rId2" Type="http://schemas.openxmlformats.org/officeDocument/2006/relationships/hyperlink" Target="https://beacon.schneidercorp.com/Application.aspx?AppID=346&amp;LayerID=4427&amp;PageTypeID=1&amp;PageID=2614&amp;KeyValue=11-41-4850-0052-00-4" TargetMode="External"/><Relationship Id="rId16" Type="http://schemas.openxmlformats.org/officeDocument/2006/relationships/hyperlink" Target="https://beacon.schneidercorp.com/Application.aspx?AppID=346&amp;LayerID=4427&amp;PageTypeID=1&amp;PageID=2614&amp;KeyValue=11-13-7150-0012-00-2" TargetMode="External"/><Relationship Id="rId20" Type="http://schemas.openxmlformats.org/officeDocument/2006/relationships/hyperlink" Target="https://beacon.schneidercorp.com/Application.aspx?AppID=205&amp;LayerID=2736&amp;PageTypeID=4&amp;PageID=1531&amp;KeyValue=460121476066000022" TargetMode="External"/><Relationship Id="rId29" Type="http://schemas.openxmlformats.org/officeDocument/2006/relationships/hyperlink" Target="https://beacon.schneidercorp.com/Application.aspx?AppID=205&amp;LayerID=2736&amp;PageTypeID=4&amp;PageID=1531&amp;KeyValue=460121426132000022" TargetMode="External"/><Relationship Id="rId1" Type="http://schemas.openxmlformats.org/officeDocument/2006/relationships/hyperlink" Target="https://beacon.schneidercorp.com/Application.aspx?AppID=205&amp;LayerID=2736&amp;PageTypeID=4&amp;PageID=1531&amp;KeyValue=460121476078000022" TargetMode="External"/><Relationship Id="rId6" Type="http://schemas.openxmlformats.org/officeDocument/2006/relationships/hyperlink" Target="https://beacon.schneidercorp.com/Application.aspx?AppID=205&amp;LayerID=2736&amp;PageTypeID=4&amp;PageID=1531&amp;KeyValue=460121476023000022" TargetMode="External"/><Relationship Id="rId11" Type="http://schemas.openxmlformats.org/officeDocument/2006/relationships/hyperlink" Target="https://beacon.schneidercorp.com/Application.aspx?AppID=205&amp;LayerID=2736&amp;PageTypeID=4&amp;PageID=1531&amp;Q=1953573186&amp;KeyValue=460121426129000022" TargetMode="External"/><Relationship Id="rId24" Type="http://schemas.openxmlformats.org/officeDocument/2006/relationships/hyperlink" Target="https://beacon.schneidercorp.com/Application.aspx?AppID=205&amp;LayerID=2736&amp;PageTypeID=4&amp;PageID=1531&amp;KeyValue=460121314057000022" TargetMode="External"/><Relationship Id="rId32" Type="http://schemas.openxmlformats.org/officeDocument/2006/relationships/printerSettings" Target="../printerSettings/printerSettings5.bin"/><Relationship Id="rId5" Type="http://schemas.openxmlformats.org/officeDocument/2006/relationships/hyperlink" Target="https://beacon.schneidercorp.com/Application.aspx?AppID=205&amp;LayerID=2736&amp;PageTypeID=4&amp;PageID=1531&amp;KeyValue=460121227003000022" TargetMode="External"/><Relationship Id="rId15" Type="http://schemas.openxmlformats.org/officeDocument/2006/relationships/hyperlink" Target="https://beacon.schneidercorp.com/Application.aspx?AppID=346&amp;LayerID=4427&amp;PageTypeID=4&amp;PageID=2617&amp;Q=1758253892&amp;KeyValue=11-13-5750-0005-00-3" TargetMode="External"/><Relationship Id="rId23" Type="http://schemas.openxmlformats.org/officeDocument/2006/relationships/hyperlink" Target="https://beacon.schneidercorp.com/Application.aspx?AppID=205&amp;LayerID=2736&amp;PageTypeID=4&amp;PageID=1531&amp;KeyValue=460122105005000023" TargetMode="External"/><Relationship Id="rId28" Type="http://schemas.openxmlformats.org/officeDocument/2006/relationships/hyperlink" Target="https://beacon.schneidercorp.com/Application.aspx?AppID=205&amp;LayerID=2736&amp;PageTypeID=4&amp;PageID=1531&amp;KeyValue=460121426133000022" TargetMode="External"/><Relationship Id="rId10" Type="http://schemas.openxmlformats.org/officeDocument/2006/relationships/hyperlink" Target="https://beacon.schneidercorp.com/Application.aspx?AppID=205&amp;LayerID=2736&amp;PageTypeID=4&amp;PageID=1531&amp;Q=1142470202&amp;KeyValue=460121426134000022" TargetMode="External"/><Relationship Id="rId19" Type="http://schemas.openxmlformats.org/officeDocument/2006/relationships/hyperlink" Target="https://beacon.schneidercorp.com/Application.aspx?AppID=205&amp;LayerID=2736&amp;PageTypeID=4&amp;PageID=1531&amp;KeyValue=460121476065000022" TargetMode="External"/><Relationship Id="rId31" Type="http://schemas.openxmlformats.org/officeDocument/2006/relationships/hyperlink" Target="https://beacon.schneidercorp.com/Application.aspx?AppID=205&amp;LayerID=2736&amp;PageTypeID=4&amp;PageID=1531&amp;KeyValue=460121476118000022" TargetMode="External"/><Relationship Id="rId4" Type="http://schemas.openxmlformats.org/officeDocument/2006/relationships/hyperlink" Target="https://beacon.schneidercorp.com/Application.aspx?AppID=205&amp;LayerID=2736&amp;PageTypeID=4&amp;PageID=1531&amp;KeyValue=460121254004000022" TargetMode="External"/><Relationship Id="rId9" Type="http://schemas.openxmlformats.org/officeDocument/2006/relationships/hyperlink" Target="https://beacon.schneidercorp.com/Application.aspx?AppID=205&amp;LayerID=2736&amp;PageTypeID=4&amp;PageID=1531&amp;Q=830281649&amp;KeyValue=460121426128000022" TargetMode="External"/><Relationship Id="rId14" Type="http://schemas.openxmlformats.org/officeDocument/2006/relationships/hyperlink" Target="https://beacon.schneidercorp.com/Application.aspx?AppID=205&amp;LayerID=2736&amp;PageTypeID=4&amp;PageID=1531&amp;KeyValue=460121476118000022" TargetMode="External"/><Relationship Id="rId22" Type="http://schemas.openxmlformats.org/officeDocument/2006/relationships/hyperlink" Target="https://beacon.schneidercorp.com/Application.aspx?AppID=205&amp;LayerID=2736&amp;PageTypeID=4&amp;PageID=1531&amp;Q=1745023879&amp;KeyValue=460122105010000023" TargetMode="External"/><Relationship Id="rId27" Type="http://schemas.openxmlformats.org/officeDocument/2006/relationships/hyperlink" Target="https://beacon.schneidercorp.com/Application.aspx?AppID=205&amp;LayerID=2736&amp;PageTypeID=4&amp;PageID=1531&amp;KeyValue=460121426131000022" TargetMode="External"/><Relationship Id="rId30" Type="http://schemas.openxmlformats.org/officeDocument/2006/relationships/hyperlink" Target="https://beacon.schneidercorp.com/Application.aspx?AppID=205&amp;LayerID=2736&amp;PageTypeID=4&amp;PageID=1531&amp;KeyValue=460121426130000022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library.municode.com/in/michigan_city/codes/code_of_ordinances?nodeId=MICHIGAN_INDIANA_CODE_APXBSUOR_ART04MASUREAPP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76"/>
  <sheetViews>
    <sheetView showGridLines="0" tabSelected="1" view="pageBreakPreview" zoomScale="120" zoomScaleNormal="100" zoomScaleSheetLayoutView="120" workbookViewId="0">
      <selection activeCell="V21" sqref="V21"/>
    </sheetView>
  </sheetViews>
  <sheetFormatPr defaultColWidth="9.1796875" defaultRowHeight="13" outlineLevelCol="1"/>
  <cols>
    <col min="1" max="1" width="2.7265625" style="1" customWidth="1"/>
    <col min="2" max="2" width="30.7265625" style="1" customWidth="1"/>
    <col min="3" max="3" width="8.7265625" style="1" customWidth="1"/>
    <col min="4" max="4" width="4.7265625" style="1" customWidth="1"/>
    <col min="5" max="5" width="13.7265625" style="1" customWidth="1"/>
    <col min="6" max="6" width="6.7265625" style="1" bestFit="1" customWidth="1"/>
    <col min="7" max="7" width="7.81640625" style="1" bestFit="1" customWidth="1"/>
    <col min="8" max="8" width="1.7265625" style="1" customWidth="1"/>
    <col min="9" max="9" width="26.1796875" style="1" customWidth="1"/>
    <col min="10" max="10" width="1.81640625" style="1" customWidth="1"/>
    <col min="11" max="11" width="11.7265625" style="1" customWidth="1"/>
    <col min="12" max="12" width="12.7265625" style="1" customWidth="1"/>
    <col min="13" max="13" width="1.81640625" style="1" customWidth="1"/>
    <col min="14" max="14" width="15.54296875" style="1" customWidth="1"/>
    <col min="15" max="15" width="11.26953125" style="1" customWidth="1"/>
    <col min="16" max="16" width="7.7265625" style="1" customWidth="1"/>
    <col min="17" max="17" width="8.7265625" style="1" customWidth="1"/>
    <col min="18" max="18" width="8.54296875" style="1" customWidth="1"/>
    <col min="19" max="19" width="2" style="1" customWidth="1"/>
    <col min="20" max="20" width="12.54296875" style="1" customWidth="1"/>
    <col min="21" max="21" width="1.81640625" style="1" customWidth="1"/>
    <col min="22" max="24" width="12.7265625" style="1" customWidth="1" outlineLevel="1"/>
    <col min="25" max="25" width="1.7265625" style="1" customWidth="1" outlineLevel="1"/>
    <col min="26" max="26" width="8.7265625" style="1" customWidth="1"/>
    <col min="27" max="27" width="12.7265625" style="1" customWidth="1"/>
    <col min="28" max="29" width="10.7265625" style="1" customWidth="1"/>
    <col min="30" max="30" width="11.7265625" style="1" customWidth="1"/>
    <col min="31" max="31" width="1.7265625" style="1" customWidth="1"/>
    <col min="32" max="34" width="11.7265625" style="1" customWidth="1" outlineLevel="1"/>
    <col min="35" max="35" width="1.7265625" style="1" customWidth="1"/>
    <col min="36" max="37" width="13.7265625" style="1" customWidth="1"/>
    <col min="38" max="38" width="2.7265625" style="1" customWidth="1"/>
    <col min="39" max="16384" width="9.1796875" style="1"/>
  </cols>
  <sheetData>
    <row r="1" spans="2:37">
      <c r="G1" s="2"/>
    </row>
    <row r="2" spans="2:37" ht="16" thickBot="1">
      <c r="B2" s="369" t="s">
        <v>324</v>
      </c>
      <c r="C2" s="369"/>
      <c r="D2" s="115"/>
      <c r="E2" s="115"/>
      <c r="G2" s="2"/>
      <c r="K2" s="4"/>
      <c r="M2" s="4"/>
      <c r="N2" s="4"/>
      <c r="O2" s="4"/>
      <c r="P2" s="4"/>
      <c r="Q2" s="4"/>
      <c r="R2" s="4"/>
      <c r="S2" s="4"/>
      <c r="T2" s="4">
        <f ca="1">NOW()</f>
        <v>46308.9586912865</v>
      </c>
      <c r="U2" s="4"/>
      <c r="V2" s="4"/>
      <c r="W2" s="4"/>
      <c r="X2" s="4"/>
      <c r="Z2" s="3" t="str">
        <f>+B2</f>
        <v>Lake Kai - Land Valuation Analysis</v>
      </c>
      <c r="AA2" s="3"/>
      <c r="AK2" s="4">
        <f ca="1">NOW()</f>
        <v>46308.9586912966</v>
      </c>
    </row>
    <row r="3" spans="2:37">
      <c r="B3" s="5"/>
      <c r="C3" s="5"/>
      <c r="D3" s="5"/>
      <c r="E3" s="5"/>
      <c r="F3" s="5"/>
      <c r="G3" s="6"/>
      <c r="H3" s="5"/>
      <c r="I3" s="5"/>
      <c r="J3" s="5"/>
      <c r="K3" s="5"/>
      <c r="L3" s="5"/>
      <c r="M3" s="114"/>
      <c r="N3" s="114"/>
      <c r="O3" s="114"/>
      <c r="P3" s="114"/>
      <c r="Q3" s="114"/>
      <c r="R3" s="114"/>
      <c r="S3" s="114"/>
      <c r="T3" s="114"/>
      <c r="U3" s="115"/>
      <c r="V3" s="114"/>
      <c r="W3" s="114"/>
      <c r="X3" s="114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2:37">
      <c r="B4" s="7" t="s">
        <v>13</v>
      </c>
      <c r="C4" s="8"/>
      <c r="D4" s="9"/>
      <c r="E4" s="9"/>
      <c r="F4" s="9"/>
      <c r="G4" s="10"/>
      <c r="I4" s="7" t="s">
        <v>161</v>
      </c>
      <c r="J4" s="9"/>
      <c r="K4" s="9"/>
      <c r="L4" s="10"/>
      <c r="M4" s="115"/>
      <c r="N4" s="7" t="s">
        <v>160</v>
      </c>
      <c r="O4" s="9"/>
      <c r="P4" s="9"/>
      <c r="Q4" s="9"/>
      <c r="R4" s="9"/>
      <c r="S4" s="9"/>
      <c r="T4" s="10"/>
      <c r="U4" s="115"/>
      <c r="V4" s="7" t="s">
        <v>41</v>
      </c>
      <c r="W4" s="9"/>
      <c r="X4" s="131"/>
      <c r="Y4" s="115"/>
      <c r="Z4" s="7" t="s">
        <v>39</v>
      </c>
      <c r="AA4" s="8"/>
      <c r="AB4" s="9"/>
      <c r="AC4" s="9"/>
      <c r="AD4" s="9"/>
      <c r="AE4" s="9"/>
      <c r="AF4" s="9"/>
      <c r="AG4" s="9"/>
      <c r="AH4" s="9"/>
      <c r="AI4" s="9"/>
      <c r="AJ4" s="9"/>
      <c r="AK4" s="10"/>
    </row>
    <row r="5" spans="2:37">
      <c r="I5" s="1" t="s">
        <v>163</v>
      </c>
      <c r="L5" s="75" t="s">
        <v>166</v>
      </c>
      <c r="M5" s="115"/>
      <c r="N5" s="115"/>
      <c r="O5" s="115"/>
      <c r="P5" s="115"/>
      <c r="Q5" s="115"/>
      <c r="R5" s="115"/>
      <c r="S5" s="115"/>
      <c r="T5" s="115"/>
      <c r="U5" s="115"/>
    </row>
    <row r="6" spans="2:37">
      <c r="B6" s="1" t="s">
        <v>14</v>
      </c>
      <c r="G6" s="11">
        <v>46388</v>
      </c>
      <c r="H6" s="12"/>
      <c r="I6" s="1" t="s">
        <v>162</v>
      </c>
      <c r="L6" s="75" t="s">
        <v>167</v>
      </c>
      <c r="M6" s="115"/>
      <c r="N6" s="115"/>
      <c r="O6" s="115"/>
      <c r="P6" s="115"/>
      <c r="Q6" s="115"/>
      <c r="R6" s="115"/>
      <c r="S6" s="115"/>
      <c r="T6" s="115"/>
      <c r="U6" s="115"/>
      <c r="V6" s="25" t="s">
        <v>0</v>
      </c>
      <c r="W6" s="25" t="s">
        <v>47</v>
      </c>
      <c r="X6" s="28" t="s">
        <v>34</v>
      </c>
      <c r="Z6" s="1" t="s">
        <v>131</v>
      </c>
      <c r="AD6" s="14"/>
      <c r="AK6" s="15">
        <v>0.06</v>
      </c>
    </row>
    <row r="7" spans="2:37">
      <c r="B7" s="1" t="s">
        <v>15</v>
      </c>
      <c r="E7" s="16"/>
      <c r="G7" s="17">
        <f>EOMONTH(G6,0)</f>
        <v>46418</v>
      </c>
      <c r="H7" s="14"/>
      <c r="I7" s="1" t="s">
        <v>164</v>
      </c>
      <c r="L7" s="221">
        <v>46388</v>
      </c>
      <c r="M7" s="115"/>
      <c r="N7" s="115"/>
      <c r="O7" s="115"/>
      <c r="P7" s="115"/>
      <c r="Q7" s="115"/>
      <c r="R7" s="115"/>
      <c r="S7" s="115"/>
      <c r="T7" s="115"/>
      <c r="U7" s="115"/>
      <c r="V7" s="48">
        <f>+'Lot Pricing'!A4</f>
        <v>1</v>
      </c>
      <c r="W7" s="48" t="str">
        <f>+'Lot Pricing'!B4</f>
        <v>Crescent Homes</v>
      </c>
      <c r="X7" s="49">
        <f>+'Lot Pricing'!C4*$AC$70</f>
        <v>500000</v>
      </c>
      <c r="Z7" s="1" t="s">
        <v>45</v>
      </c>
      <c r="AG7" s="1" t="inlineStr">
        <is>
          <t>Legacy / inactive</t>
        </is>
      </c>
      <c r="AH7" s="1" t="inlineStr">
        <is>
          <t>Legacy / inactive</t>
        </is>
      </c>
      <c r="AK7" s="124">
        <v>1</v>
      </c>
    </row>
    <row r="8" spans="2:37">
      <c r="B8" s="1" t="s">
        <v>16</v>
      </c>
      <c r="E8" s="16"/>
      <c r="G8" s="18">
        <f>Proforma!BC4</f>
        <v>50</v>
      </c>
      <c r="H8" s="14"/>
      <c r="I8" s="1" t="s">
        <v>165</v>
      </c>
      <c r="L8" s="475">
        <f>G8/12</f>
        <v>4.16666666666667</v>
      </c>
      <c r="M8" s="116"/>
      <c r="N8" s="116"/>
      <c r="O8" s="116"/>
      <c r="P8" s="116"/>
      <c r="Q8" s="116"/>
      <c r="R8" s="116"/>
      <c r="S8" s="116"/>
      <c r="T8" s="116"/>
      <c r="U8" s="116"/>
      <c r="V8" s="48">
        <f>+'Lot Pricing'!A5</f>
        <v>2</v>
      </c>
      <c r="W8" s="48" t="str">
        <f>+'Lot Pricing'!B5</f>
        <v>Crescent Homes</v>
      </c>
      <c r="X8" s="47">
        <f>+'Lot Pricing'!C5*$AC$70</f>
        <v>500000</v>
      </c>
      <c r="AF8" s="19" t="s">
        <v>46</v>
      </c>
      <c r="AG8" s="19"/>
      <c r="AH8" s="19"/>
    </row>
    <row r="9" spans="2:37">
      <c r="B9" s="1" t="s">
        <v>43</v>
      </c>
      <c r="G9" s="395">
        <v>88</v>
      </c>
      <c r="H9" s="14"/>
      <c r="I9" s="1" t="s">
        <v>330</v>
      </c>
      <c r="K9" s="392">
        <f>40.77+0.036</f>
        <v>40.806</v>
      </c>
      <c r="L9" s="391">
        <f>+K9*43560</f>
        <v>1777509.36</v>
      </c>
      <c r="M9" s="117"/>
      <c r="N9" s="117"/>
      <c r="O9" s="117"/>
      <c r="P9" s="117"/>
      <c r="Q9" s="117"/>
      <c r="R9" s="117"/>
      <c r="S9" s="117"/>
      <c r="T9" s="117"/>
      <c r="U9" s="117"/>
      <c r="V9" s="48">
        <f>+'Lot Pricing'!A6</f>
        <v>3</v>
      </c>
      <c r="W9" s="48" t="str">
        <f>+'Lot Pricing'!B6</f>
        <v>Crescent Homes</v>
      </c>
      <c r="X9" s="47">
        <f>+'Lot Pricing'!C6*$AC$70</f>
        <v>500000</v>
      </c>
      <c r="AB9" s="20" t="s">
        <v>18</v>
      </c>
      <c r="AC9" s="20"/>
      <c r="AD9" s="20"/>
      <c r="AE9" s="21"/>
      <c r="AF9" s="22">
        <v>1</v>
      </c>
      <c r="AG9" s="22">
        <f>+AF9+1</f>
        <v>2</v>
      </c>
      <c r="AH9" s="22">
        <f>+AG9+1</f>
        <v>3</v>
      </c>
      <c r="AI9" s="21"/>
      <c r="AJ9" s="23" t="s">
        <v>36</v>
      </c>
      <c r="AK9" s="23" t="s">
        <v>38</v>
      </c>
    </row>
    <row r="10" spans="2:37">
      <c r="B10" s="1" t="s">
        <v>345</v>
      </c>
      <c r="G10" s="395">
        <v>2</v>
      </c>
      <c r="H10" s="24"/>
      <c r="I10" s="1" t="s">
        <v>327</v>
      </c>
      <c r="K10" s="392">
        <v>23.93</v>
      </c>
      <c r="L10" s="391">
        <f t="shared" ref="L10:L11" si="0">+K10*43560</f>
        <v>1042390.8</v>
      </c>
      <c r="M10" s="118"/>
      <c r="N10" s="118"/>
      <c r="O10" s="118"/>
      <c r="P10" s="118"/>
      <c r="Q10" s="118"/>
      <c r="R10" s="118"/>
      <c r="S10" s="118"/>
      <c r="T10" s="118"/>
      <c r="U10" s="118"/>
      <c r="V10" s="48">
        <f>+'Lot Pricing'!A7</f>
        <v>4</v>
      </c>
      <c r="W10" s="48" t="str">
        <f>+'Lot Pricing'!B7</f>
        <v>Crescent Homes</v>
      </c>
      <c r="X10" s="47">
        <f>+'Lot Pricing'!C7*$AC$70</f>
        <v>500000</v>
      </c>
      <c r="Z10" s="25" t="s">
        <v>20</v>
      </c>
      <c r="AA10" s="25" t="s">
        <v>21</v>
      </c>
      <c r="AB10" s="113" t="s">
        <v>3</v>
      </c>
      <c r="AC10" s="25" t="s">
        <v>44</v>
      </c>
      <c r="AD10" s="25" t="inlineStr">
        <is>
          <t>Gross Lot Sales</t>
        </is>
      </c>
      <c r="AE10" s="26"/>
      <c r="AF10" s="27">
        <f>$G$8</f>
        <v>50</v>
      </c>
      <c r="AG10" s="27">
        <v>48</v>
      </c>
      <c r="AH10" s="27">
        <v>48</v>
      </c>
      <c r="AI10" s="26"/>
      <c r="AJ10" s="28" t="s">
        <v>37</v>
      </c>
      <c r="AK10" s="28" t="s">
        <v>23</v>
      </c>
    </row>
    <row r="11" spans="2:37">
      <c r="B11" s="115" t="s">
        <v>320</v>
      </c>
      <c r="G11" s="18" t="str">
        <f>CONCATENATE(Proforma!BH7," / ",Proforma!BH9)</f>
        <v>16 / 0</v>
      </c>
      <c r="H11" s="29"/>
      <c r="I11" s="1" t="s">
        <v>328</v>
      </c>
      <c r="K11" s="392">
        <f>+K9-K10</f>
        <v>16.876</v>
      </c>
      <c r="L11" s="391">
        <f t="shared" si="0"/>
        <v>735118.56</v>
      </c>
      <c r="M11" s="119"/>
      <c r="N11" s="119"/>
      <c r="O11" s="119"/>
      <c r="P11" s="119"/>
      <c r="Q11" s="119"/>
      <c r="R11" s="119"/>
      <c r="S11" s="119"/>
      <c r="T11" s="119"/>
      <c r="U11" s="119"/>
      <c r="V11" s="48">
        <f>+'Lot Pricing'!A8</f>
        <v>5</v>
      </c>
      <c r="W11" s="48" t="str">
        <f>+'Lot Pricing'!B8</f>
        <v>Crescent Homes</v>
      </c>
      <c r="X11" s="47">
        <f>+'Lot Pricing'!C8*$AC$70</f>
        <v>500000</v>
      </c>
      <c r="Z11" s="30">
        <f>Proforma!F4</f>
        <v>1</v>
      </c>
      <c r="AA11" s="31">
        <f>Proforma!F5</f>
        <v>46418</v>
      </c>
      <c r="AB11" s="30">
        <f>Proforma!F9</f>
        <v>0</v>
      </c>
      <c r="AC11" s="30">
        <f>Proforma!F10</f>
        <v>0</v>
      </c>
      <c r="AD11" s="14">
        <f>Proforma!F17</f>
        <v>0</v>
      </c>
      <c r="AE11" s="33"/>
      <c r="AF11" s="30">
        <f>AB11</f>
        <v>0</v>
      </c>
      <c r="AG11" s="32">
        <v>0</v>
      </c>
      <c r="AH11" s="32">
        <v>0</v>
      </c>
      <c r="AI11" s="33"/>
      <c r="AJ11" s="34">
        <f t="shared" ref="AJ11:AJ55" si="2">+AD11*$AK$6</f>
        <v>0</v>
      </c>
      <c r="AK11" s="34">
        <f>+AD11-AJ11</f>
        <v>0</v>
      </c>
    </row>
    <row r="12" spans="2:37">
      <c r="B12" s="115" t="s">
        <v>321</v>
      </c>
      <c r="G12" s="18" t="str">
        <f>CONCATENATE(Proforma!BI7," / ",Proforma!BI9)</f>
        <v>24 / 0</v>
      </c>
      <c r="H12" s="29"/>
      <c r="I12" s="1" t="s">
        <v>329</v>
      </c>
      <c r="M12" s="115"/>
      <c r="N12" s="115"/>
      <c r="O12" s="115"/>
      <c r="P12" s="115"/>
      <c r="Q12" s="115"/>
      <c r="R12" s="115"/>
      <c r="S12" s="115"/>
      <c r="T12" s="115"/>
      <c r="U12" s="115"/>
      <c r="V12" s="48">
        <f>+'Lot Pricing'!A9</f>
        <v>6</v>
      </c>
      <c r="W12" s="48" t="str">
        <f>+'Lot Pricing'!B9</f>
        <v>Crescent Homes</v>
      </c>
      <c r="X12" s="47">
        <f>+'Lot Pricing'!C9*$AC$70</f>
        <v>500000</v>
      </c>
      <c r="Z12" s="30">
        <f>Proforma!G4</f>
        <v>2</v>
      </c>
      <c r="AA12" s="31">
        <f>Proforma!G5</f>
        <v>46446</v>
      </c>
      <c r="AB12" s="30">
        <f>Proforma!G9</f>
        <v>0</v>
      </c>
      <c r="AC12" s="30">
        <f>Proforma!G10</f>
        <v>0</v>
      </c>
      <c r="AD12" s="16">
        <f>Proforma!G17</f>
        <v>0</v>
      </c>
      <c r="AE12" s="33"/>
      <c r="AF12" s="30">
        <f>AB12</f>
        <v>0</v>
      </c>
      <c r="AG12" s="32">
        <v>0</v>
      </c>
      <c r="AH12" s="32">
        <v>0</v>
      </c>
      <c r="AI12" s="33"/>
      <c r="AJ12" s="35">
        <f t="shared" si="2"/>
        <v>0</v>
      </c>
      <c r="AK12" s="35">
        <f t="shared" ref="AK12:AK55" si="5">+AD12-AJ12</f>
        <v>0</v>
      </c>
    </row>
    <row r="13" spans="2:37">
      <c r="B13" s="115" t="s">
        <v>325</v>
      </c>
      <c r="G13" s="396" t="str">
        <f>CONCATENATE(Proforma!BJ7," / ",Proforma!BJ9)</f>
        <v>24 / 60</v>
      </c>
      <c r="H13" s="29"/>
      <c r="M13" s="115"/>
      <c r="N13" s="115"/>
      <c r="O13" s="115"/>
      <c r="P13" s="115"/>
      <c r="Q13" s="115"/>
      <c r="R13" s="115"/>
      <c r="S13" s="115"/>
      <c r="T13" s="115"/>
      <c r="U13" s="115"/>
      <c r="V13" s="48">
        <f>+'Lot Pricing'!A10</f>
        <v>7</v>
      </c>
      <c r="W13" s="48" t="str">
        <f>+'Lot Pricing'!B10</f>
        <v>Crescent Homes</v>
      </c>
      <c r="X13" s="47">
        <f>+'Lot Pricing'!C10*$AC$70</f>
        <v>500000</v>
      </c>
      <c r="Z13" s="30">
        <f>Proforma!H4</f>
        <v>3</v>
      </c>
      <c r="AA13" s="31">
        <f>Proforma!H5</f>
        <v>46477</v>
      </c>
      <c r="AB13" s="30">
        <f>Proforma!H9</f>
        <v>0</v>
      </c>
      <c r="AC13" s="30">
        <f>Proforma!H10</f>
        <v>0</v>
      </c>
      <c r="AD13" s="16">
        <f>Proforma!H17</f>
        <v>0</v>
      </c>
      <c r="AE13" s="33"/>
      <c r="AF13" s="30">
        <f>AB13</f>
        <v>0</v>
      </c>
      <c r="AG13" s="32">
        <v>0</v>
      </c>
      <c r="AH13" s="32">
        <v>0</v>
      </c>
      <c r="AI13" s="33"/>
      <c r="AJ13" s="35">
        <f t="shared" si="2"/>
        <v>0</v>
      </c>
      <c r="AK13" s="35">
        <f t="shared" si="5"/>
        <v>0</v>
      </c>
    </row>
    <row r="14" spans="2:37">
      <c r="B14" s="115" t="s">
        <v>346</v>
      </c>
      <c r="G14" s="396" t="str">
        <f>CONCATENATE(Proforma!BK7," / ",Proforma!BK9)</f>
        <v>24 / 24</v>
      </c>
      <c r="H14" s="29"/>
      <c r="M14" s="120"/>
      <c r="N14" s="120"/>
      <c r="O14" s="120"/>
      <c r="P14" s="120"/>
      <c r="Q14" s="120"/>
      <c r="R14" s="120"/>
      <c r="S14" s="120"/>
      <c r="T14" s="120"/>
      <c r="U14" s="120"/>
      <c r="V14" s="48">
        <f>+'Lot Pricing'!A11</f>
        <v>8</v>
      </c>
      <c r="W14" s="48" t="str">
        <f>+'Lot Pricing'!B11</f>
        <v>Crescent Homes</v>
      </c>
      <c r="X14" s="47">
        <f>+'Lot Pricing'!C11*$AC$70</f>
        <v>500000</v>
      </c>
      <c r="Z14" s="30">
        <f>Proforma!I4</f>
        <v>4</v>
      </c>
      <c r="AA14" s="31">
        <f>Proforma!I5</f>
        <v>46507</v>
      </c>
      <c r="AB14" s="30">
        <f>Proforma!I9</f>
        <v>0</v>
      </c>
      <c r="AC14" s="30">
        <f>Proforma!I10</f>
        <v>0</v>
      </c>
      <c r="AD14" s="16">
        <f>Proforma!I17</f>
        <v>0</v>
      </c>
      <c r="AE14" s="33"/>
      <c r="AF14" s="30">
        <f>AB14</f>
        <v>0</v>
      </c>
      <c r="AG14" s="32">
        <v>0</v>
      </c>
      <c r="AH14" s="32">
        <v>0</v>
      </c>
      <c r="AI14" s="33"/>
      <c r="AJ14" s="35">
        <f t="shared" si="2"/>
        <v>0</v>
      </c>
      <c r="AK14" s="35">
        <f t="shared" si="5"/>
        <v>0</v>
      </c>
    </row>
    <row r="15" spans="2:37">
      <c r="B15" s="115" t="s">
        <v>347</v>
      </c>
      <c r="F15" s="14"/>
      <c r="G15" s="18" t="str">
        <f>CONCATENATE(Proforma!BL7," / ",Proforma!BL9)</f>
        <v>0 / 4</v>
      </c>
      <c r="H15" s="29"/>
      <c r="M15" s="115"/>
      <c r="N15" s="115"/>
      <c r="O15" s="115"/>
      <c r="P15" s="115"/>
      <c r="Q15" s="115"/>
      <c r="R15" s="115"/>
      <c r="S15" s="115"/>
      <c r="T15" s="115"/>
      <c r="U15" s="115"/>
      <c r="V15" s="48">
        <f>+'Lot Pricing'!A12</f>
        <v>9</v>
      </c>
      <c r="W15" s="48" t="str">
        <f>+'Lot Pricing'!B12</f>
        <v>Court Homes</v>
      </c>
      <c r="X15" s="47">
        <f>+'Lot Pricing'!C12*$AC$70</f>
        <v>300000</v>
      </c>
      <c r="Z15" s="30">
        <f>Proforma!J4</f>
        <v>5</v>
      </c>
      <c r="AA15" s="31">
        <f>Proforma!J5</f>
        <v>46538</v>
      </c>
      <c r="AB15" s="30">
        <f>Proforma!J9</f>
        <v>0</v>
      </c>
      <c r="AC15" s="30">
        <f>Proforma!J10</f>
        <v>0</v>
      </c>
      <c r="AD15" s="16">
        <f>Proforma!J17</f>
        <v>0</v>
      </c>
      <c r="AE15" s="33"/>
      <c r="AF15" s="30">
        <f>AB15</f>
        <v>0</v>
      </c>
      <c r="AG15" s="32">
        <v>0</v>
      </c>
      <c r="AH15" s="32">
        <v>0</v>
      </c>
      <c r="AI15" s="33"/>
      <c r="AJ15" s="35">
        <f t="shared" si="2"/>
        <v>0</v>
      </c>
      <c r="AK15" s="35">
        <f t="shared" si="5"/>
        <v>0</v>
      </c>
    </row>
    <row r="16" spans="2:37">
      <c r="H16" s="29"/>
      <c r="M16" s="116"/>
      <c r="N16" s="116"/>
      <c r="O16" s="116"/>
      <c r="P16" s="116"/>
      <c r="Q16" s="116"/>
      <c r="R16" s="116"/>
      <c r="S16" s="116"/>
      <c r="T16" s="116"/>
      <c r="U16" s="116"/>
      <c r="V16" s="48">
        <f>+'Lot Pricing'!A13</f>
        <v>10</v>
      </c>
      <c r="W16" s="48" t="str">
        <f>+'Lot Pricing'!B13</f>
        <v>Court Homes</v>
      </c>
      <c r="X16" s="47">
        <f>+'Lot Pricing'!C13*$AC$70</f>
        <v>300000</v>
      </c>
      <c r="Z16" s="30">
        <f>Proforma!K4</f>
        <v>6</v>
      </c>
      <c r="AA16" s="31">
        <f>Proforma!K5</f>
        <v>46568</v>
      </c>
      <c r="AB16" s="30">
        <f>Proforma!K9</f>
        <v>0</v>
      </c>
      <c r="AC16" s="30">
        <f>Proforma!K10</f>
        <v>0</v>
      </c>
      <c r="AD16" s="16">
        <f>Proforma!K17</f>
        <v>0</v>
      </c>
      <c r="AE16" s="33"/>
      <c r="AF16" s="30">
        <f>AB16</f>
        <v>0</v>
      </c>
      <c r="AG16" s="32">
        <v>0</v>
      </c>
      <c r="AH16" s="32">
        <v>0</v>
      </c>
      <c r="AI16" s="33"/>
      <c r="AJ16" s="35">
        <f t="shared" si="2"/>
        <v>0</v>
      </c>
      <c r="AK16" s="35">
        <f t="shared" si="5"/>
        <v>0</v>
      </c>
    </row>
    <row r="17" spans="2:37">
      <c r="B17" s="7" t="s">
        <v>19</v>
      </c>
      <c r="C17" s="8"/>
      <c r="D17" s="9"/>
      <c r="E17" s="9"/>
      <c r="F17" s="9"/>
      <c r="G17" s="10"/>
      <c r="H17" s="29"/>
      <c r="M17" s="117"/>
      <c r="N17" s="117"/>
      <c r="O17" s="117"/>
      <c r="P17" s="117"/>
      <c r="Q17" s="117"/>
      <c r="R17" s="117"/>
      <c r="S17" s="117"/>
      <c r="T17" s="117"/>
      <c r="U17" s="117"/>
      <c r="V17" s="48">
        <f>+'Lot Pricing'!A14</f>
        <v>11</v>
      </c>
      <c r="W17" s="48" t="str">
        <f>+'Lot Pricing'!B14</f>
        <v>Court Homes</v>
      </c>
      <c r="X17" s="47">
        <f>+'Lot Pricing'!C14*$AC$70</f>
        <v>300000</v>
      </c>
      <c r="Z17" s="30">
        <f>Proforma!L4</f>
        <v>7</v>
      </c>
      <c r="AA17" s="31">
        <f>Proforma!L5</f>
        <v>46599</v>
      </c>
      <c r="AB17" s="30">
        <f>Proforma!L9</f>
        <v>0</v>
      </c>
      <c r="AC17" s="30">
        <f>Proforma!L10</f>
        <v>0</v>
      </c>
      <c r="AD17" s="16">
        <f>Proforma!L17</f>
        <v>0</v>
      </c>
      <c r="AE17" s="33"/>
      <c r="AF17" s="30">
        <f>AB17</f>
        <v>0</v>
      </c>
      <c r="AG17" s="32">
        <v>0</v>
      </c>
      <c r="AH17" s="32">
        <v>0</v>
      </c>
      <c r="AI17" s="33"/>
      <c r="AJ17" s="35">
        <f t="shared" si="2"/>
        <v>0</v>
      </c>
      <c r="AK17" s="35">
        <f t="shared" si="5"/>
        <v>0</v>
      </c>
    </row>
    <row r="18" spans="2:37">
      <c r="B18" s="13" t="s">
        <v>24</v>
      </c>
      <c r="C18" s="338" t="s">
        <v>127</v>
      </c>
      <c r="E18" s="38"/>
      <c r="F18" s="28" t="s">
        <v>42</v>
      </c>
      <c r="G18" s="115"/>
      <c r="H18" s="39"/>
      <c r="M18" s="118"/>
      <c r="N18" s="118"/>
      <c r="O18" s="118"/>
      <c r="P18" s="118"/>
      <c r="Q18" s="118"/>
      <c r="R18" s="118"/>
      <c r="S18" s="118"/>
      <c r="T18" s="118"/>
      <c r="U18" s="118"/>
      <c r="V18" s="48">
        <f>+'Lot Pricing'!A15</f>
        <v>12</v>
      </c>
      <c r="W18" s="48" t="str">
        <f>+'Lot Pricing'!B15</f>
        <v>Court Homes</v>
      </c>
      <c r="X18" s="47">
        <f>+'Lot Pricing'!C15*$AC$70</f>
        <v>300000</v>
      </c>
      <c r="Z18" s="30">
        <f>Proforma!M4</f>
        <v>8</v>
      </c>
      <c r="AA18" s="31">
        <f>Proforma!M5</f>
        <v>46630</v>
      </c>
      <c r="AB18" s="30">
        <f>Proforma!M9</f>
        <v>0</v>
      </c>
      <c r="AC18" s="30">
        <f>Proforma!M10</f>
        <v>0</v>
      </c>
      <c r="AD18" s="16">
        <f>Proforma!M17</f>
        <v>0</v>
      </c>
      <c r="AE18" s="33"/>
      <c r="AF18" s="30">
        <f>AB18</f>
        <v>0</v>
      </c>
      <c r="AG18" s="32">
        <v>0</v>
      </c>
      <c r="AH18" s="32">
        <v>0</v>
      </c>
      <c r="AI18" s="33"/>
      <c r="AJ18" s="35">
        <f t="shared" si="2"/>
        <v>0</v>
      </c>
      <c r="AK18" s="35">
        <f t="shared" si="5"/>
        <v>0</v>
      </c>
    </row>
    <row r="19" spans="2:37">
      <c r="B19" s="40" t="s">
        <v>301</v>
      </c>
      <c r="C19" s="137">
        <f>E19/G9</f>
        <v>132960.230177037</v>
      </c>
      <c r="E19" s="41">
        <f>E32</f>
        <v>11700500.2555792</v>
      </c>
      <c r="F19" s="42">
        <v>1</v>
      </c>
      <c r="G19" s="115"/>
      <c r="H19" s="39"/>
      <c r="M19" s="119"/>
      <c r="N19" s="119"/>
      <c r="O19" s="119"/>
      <c r="P19" s="119"/>
      <c r="Q19" s="119"/>
      <c r="R19" s="119"/>
      <c r="S19" s="119"/>
      <c r="T19" s="119"/>
      <c r="U19" s="119"/>
      <c r="V19" s="48">
        <f>+'Lot Pricing'!A16</f>
        <v>13</v>
      </c>
      <c r="W19" s="48" t="str">
        <f>+'Lot Pricing'!B16</f>
        <v>Court Homes</v>
      </c>
      <c r="X19" s="47">
        <f>+'Lot Pricing'!C16*$AC$70</f>
        <v>300000</v>
      </c>
      <c r="Z19" s="30">
        <f>Proforma!N4</f>
        <v>9</v>
      </c>
      <c r="AA19" s="31">
        <f>Proforma!N5</f>
        <v>46660</v>
      </c>
      <c r="AB19" s="30">
        <f>Proforma!N9</f>
        <v>0</v>
      </c>
      <c r="AC19" s="30">
        <f>Proforma!N10</f>
        <v>0</v>
      </c>
      <c r="AD19" s="16">
        <f>Proforma!N17</f>
        <v>0</v>
      </c>
      <c r="AE19" s="33"/>
      <c r="AF19" s="30">
        <f>AB19</f>
        <v>0</v>
      </c>
      <c r="AG19" s="32">
        <v>0</v>
      </c>
      <c r="AH19" s="32">
        <v>0</v>
      </c>
      <c r="AI19" s="33"/>
      <c r="AJ19" s="35">
        <f t="shared" si="2"/>
        <v>0</v>
      </c>
      <c r="AK19" s="35">
        <f t="shared" si="5"/>
        <v>0</v>
      </c>
    </row>
    <row r="20" spans="2:37">
      <c r="B20" s="2"/>
      <c r="C20" s="139"/>
      <c r="E20" s="43"/>
      <c r="F20" s="44"/>
      <c r="G20" s="115"/>
      <c r="H20" s="39"/>
      <c r="M20" s="115"/>
      <c r="N20" s="115"/>
      <c r="O20" s="115"/>
      <c r="P20" s="115"/>
      <c r="Q20" s="115"/>
      <c r="R20" s="115"/>
      <c r="S20" s="115"/>
      <c r="T20" s="115"/>
      <c r="U20" s="115"/>
      <c r="V20" s="48">
        <f>+'Lot Pricing'!A17</f>
        <v>14</v>
      </c>
      <c r="W20" s="48" t="str">
        <f>+'Lot Pricing'!B17</f>
        <v>Court Homes</v>
      </c>
      <c r="X20" s="47">
        <f>+'Lot Pricing'!C17*$AC$70</f>
        <v>300000</v>
      </c>
      <c r="Z20" s="30">
        <f>Proforma!O4</f>
        <v>10</v>
      </c>
      <c r="AA20" s="31">
        <f>Proforma!O5</f>
        <v>46691</v>
      </c>
      <c r="AB20" s="30">
        <f>Proforma!O9</f>
        <v>0</v>
      </c>
      <c r="AC20" s="30">
        <f>Proforma!O10</f>
        <v>0</v>
      </c>
      <c r="AD20" s="16">
        <f>Proforma!O17</f>
        <v>0</v>
      </c>
      <c r="AE20" s="33"/>
      <c r="AF20" s="30">
        <f>AB20</f>
        <v>0</v>
      </c>
      <c r="AG20" s="32">
        <v>0</v>
      </c>
      <c r="AH20" s="32">
        <v>0</v>
      </c>
      <c r="AI20" s="33"/>
      <c r="AJ20" s="35">
        <f t="shared" si="2"/>
        <v>0</v>
      </c>
      <c r="AK20" s="35">
        <f t="shared" si="5"/>
        <v>0</v>
      </c>
    </row>
    <row r="21" spans="2:37" ht="13.5" thickBot="1">
      <c r="B21" s="343" t="s">
        <v>25</v>
      </c>
      <c r="C21" s="339">
        <f>C19</f>
        <v>132960.230177037</v>
      </c>
      <c r="D21" s="340"/>
      <c r="E21" s="341">
        <f>E19</f>
        <v>11700500.2555792</v>
      </c>
      <c r="F21" s="342">
        <f>F19</f>
        <v>1</v>
      </c>
      <c r="G21" s="116"/>
      <c r="H21" s="39"/>
      <c r="M21" s="115"/>
      <c r="N21" s="115"/>
      <c r="O21" s="115"/>
      <c r="P21" s="115"/>
      <c r="Q21" s="115"/>
      <c r="R21" s="115"/>
      <c r="S21" s="115"/>
      <c r="T21" s="115"/>
      <c r="U21" s="115"/>
      <c r="V21" s="48">
        <f>+'Lot Pricing'!A18</f>
        <v>15</v>
      </c>
      <c r="W21" s="48" t="str">
        <f>+'Lot Pricing'!B18</f>
        <v>Manor Homes</v>
      </c>
      <c r="X21" s="47">
        <f>+'Lot Pricing'!C18*$AC$70</f>
        <v>600000</v>
      </c>
      <c r="Z21" s="30">
        <f>Proforma!P4</f>
        <v>11</v>
      </c>
      <c r="AA21" s="31">
        <f>Proforma!P5</f>
        <v>46721</v>
      </c>
      <c r="AB21" s="30">
        <f>Proforma!P9</f>
        <v>0</v>
      </c>
      <c r="AC21" s="30">
        <f>Proforma!P10</f>
        <v>0</v>
      </c>
      <c r="AD21" s="16">
        <f>Proforma!P17</f>
        <v>0</v>
      </c>
      <c r="AE21" s="33"/>
      <c r="AF21" s="30">
        <f>AB21</f>
        <v>0</v>
      </c>
      <c r="AG21" s="32">
        <v>0</v>
      </c>
      <c r="AH21" s="32">
        <v>0</v>
      </c>
      <c r="AI21" s="33"/>
      <c r="AJ21" s="35">
        <f t="shared" si="2"/>
        <v>0</v>
      </c>
      <c r="AK21" s="35">
        <f t="shared" si="5"/>
        <v>0</v>
      </c>
    </row>
    <row r="22" spans="2:37" ht="13.5" thickTop="1">
      <c r="F22" s="12"/>
      <c r="G22" s="115"/>
      <c r="H22" s="39"/>
      <c r="I22" s="7" t="s">
        <v>132</v>
      </c>
      <c r="J22" s="9"/>
      <c r="K22" s="9"/>
      <c r="L22" s="10"/>
      <c r="M22" s="115"/>
      <c r="N22" s="115"/>
      <c r="O22" s="115"/>
      <c r="P22" s="115"/>
      <c r="Q22" s="115"/>
      <c r="R22" s="115"/>
      <c r="S22" s="115"/>
      <c r="T22" s="115"/>
      <c r="U22" s="115"/>
      <c r="V22" s="48">
        <f>+'Lot Pricing'!A19</f>
        <v>16</v>
      </c>
      <c r="W22" s="48" t="str">
        <f>+'Lot Pricing'!B19</f>
        <v>Manor Homes</v>
      </c>
      <c r="X22" s="47">
        <f>+'Lot Pricing'!C19*$AC$70</f>
        <v>600000</v>
      </c>
      <c r="Z22" s="30">
        <f>Proforma!Q4</f>
        <v>12</v>
      </c>
      <c r="AA22" s="31">
        <f>Proforma!Q5</f>
        <v>46752</v>
      </c>
      <c r="AB22" s="30">
        <f>Proforma!Q9</f>
        <v>0</v>
      </c>
      <c r="AC22" s="30">
        <f>Proforma!Q10</f>
        <v>0</v>
      </c>
      <c r="AD22" s="16">
        <f>Proforma!Q17</f>
        <v>0</v>
      </c>
      <c r="AE22" s="33"/>
      <c r="AF22" s="30">
        <f>AB22</f>
        <v>0</v>
      </c>
      <c r="AG22" s="32">
        <v>0</v>
      </c>
      <c r="AH22" s="32">
        <v>0</v>
      </c>
      <c r="AI22" s="33"/>
      <c r="AJ22" s="35">
        <f t="shared" si="2"/>
        <v>0</v>
      </c>
      <c r="AK22" s="35">
        <f t="shared" si="5"/>
        <v>0</v>
      </c>
    </row>
    <row r="23" spans="2:37">
      <c r="B23" s="13" t="s">
        <v>26</v>
      </c>
      <c r="C23" s="338" t="s">
        <v>127</v>
      </c>
      <c r="E23" s="38"/>
      <c r="F23" s="28" t="s">
        <v>42</v>
      </c>
      <c r="G23" s="115"/>
      <c r="H23" s="39"/>
      <c r="M23" s="115"/>
      <c r="N23" s="115"/>
      <c r="O23" s="115"/>
      <c r="P23" s="115"/>
      <c r="Q23" s="115"/>
      <c r="R23" s="115"/>
      <c r="S23" s="115"/>
      <c r="T23" s="115"/>
      <c r="U23" s="115"/>
      <c r="V23" s="48">
        <f>+'Lot Pricing'!A20</f>
        <v>17</v>
      </c>
      <c r="W23" s="48" t="str">
        <f>+'Lot Pricing'!B20</f>
        <v>Manor Homes</v>
      </c>
      <c r="X23" s="47">
        <f>+'Lot Pricing'!C20*$AC$70</f>
        <v>600000</v>
      </c>
      <c r="Z23" s="30">
        <f>Proforma!R4</f>
        <v>13</v>
      </c>
      <c r="AA23" s="31">
        <f>Proforma!R5</f>
        <v>46783</v>
      </c>
      <c r="AB23" s="30">
        <f>Proforma!R9</f>
        <v>0</v>
      </c>
      <c r="AC23" s="30">
        <f>Proforma!R10</f>
        <v>0</v>
      </c>
      <c r="AD23" s="16">
        <f>Proforma!R17</f>
        <v>0</v>
      </c>
      <c r="AE23" s="33"/>
      <c r="AF23" s="30">
        <f>AB23</f>
        <v>0</v>
      </c>
      <c r="AG23" s="32">
        <v>0</v>
      </c>
      <c r="AH23" s="32">
        <v>0</v>
      </c>
      <c r="AI23" s="33"/>
      <c r="AJ23" s="35">
        <f t="shared" si="2"/>
        <v>0</v>
      </c>
      <c r="AK23" s="35">
        <f t="shared" si="5"/>
        <v>0</v>
      </c>
    </row>
    <row r="24" spans="2:37">
      <c r="B24" s="132" t="s">
        <v>348</v>
      </c>
      <c r="C24" s="135">
        <f>E24/G9</f>
        <v>0</v>
      </c>
      <c r="E24" s="1">
        <f>Proforma!E22+Proforma!R22</f>
        <v>0</v>
      </c>
      <c r="F24" s="133">
        <f t="shared" ref="F24:F30" si="8">+E24/$E$32</f>
        <v>0</v>
      </c>
      <c r="G24" s="115"/>
      <c r="H24" s="39"/>
      <c r="I24" s="13" t="s">
        <v>133</v>
      </c>
      <c r="L24" s="26" t="str">
        <f>'Lot Pricing'!J5</f>
        <v>Per Lot</v>
      </c>
      <c r="M24" s="116"/>
      <c r="N24" s="116"/>
      <c r="O24" s="116"/>
      <c r="P24" s="116"/>
      <c r="Q24" s="116"/>
      <c r="R24" s="116"/>
      <c r="S24" s="116"/>
      <c r="T24" s="116"/>
      <c r="U24" s="116"/>
      <c r="V24" s="48">
        <f>+'Lot Pricing'!A21</f>
        <v>18</v>
      </c>
      <c r="W24" s="48" t="str">
        <f>+'Lot Pricing'!B21</f>
        <v>Manor Homes</v>
      </c>
      <c r="X24" s="47">
        <f>+'Lot Pricing'!C21*$AC$70</f>
        <v>600000</v>
      </c>
      <c r="Z24" s="30">
        <f>Proforma!S4</f>
        <v>14</v>
      </c>
      <c r="AA24" s="31">
        <f>Proforma!S5</f>
        <v>46812</v>
      </c>
      <c r="AB24" s="30">
        <f>Proforma!S9</f>
        <v>0</v>
      </c>
      <c r="AC24" s="30">
        <f>Proforma!S10</f>
        <v>0</v>
      </c>
      <c r="AD24" s="16">
        <f>Proforma!S17</f>
        <v>0</v>
      </c>
      <c r="AE24" s="33"/>
      <c r="AF24" s="30">
        <f>AB24</f>
        <v>0</v>
      </c>
      <c r="AG24" s="32">
        <v>0</v>
      </c>
      <c r="AH24" s="32">
        <v>0</v>
      </c>
      <c r="AI24" s="33"/>
      <c r="AJ24" s="35">
        <f t="shared" si="2"/>
        <v>0</v>
      </c>
      <c r="AK24" s="35">
        <f t="shared" si="5"/>
        <v>0</v>
      </c>
    </row>
    <row r="25" spans="2:37">
      <c r="B25" s="134">
        <v>0.04</v>
      </c>
      <c r="C25" s="135">
        <f t="shared" ref="C25:C30" si="9">E25/$G$9</f>
        <v>0</v>
      </c>
      <c r="E25" s="1">
        <f>Proforma!BD23</f>
        <v>0</v>
      </c>
      <c r="F25" s="133">
        <f t="shared" si="8"/>
        <v>0</v>
      </c>
      <c r="G25" s="115"/>
      <c r="H25" s="39"/>
      <c r="I25" s="132" t="s">
        <v>5</v>
      </c>
      <c r="K25" s="123">
        <f>'Lot Pricing'!H6</f>
        <v>35800220.9814542</v>
      </c>
      <c r="L25" s="123">
        <f>'Lot Pricing'!J6</f>
        <v>406820.692971071</v>
      </c>
      <c r="M25" s="117"/>
      <c r="N25" s="117"/>
      <c r="O25" s="117"/>
      <c r="P25" s="117"/>
      <c r="Q25" s="117"/>
      <c r="R25" s="117"/>
      <c r="S25" s="117"/>
      <c r="T25" s="117"/>
      <c r="U25" s="117"/>
      <c r="V25" s="48">
        <f>+'Lot Pricing'!A22</f>
        <v>19</v>
      </c>
      <c r="W25" s="48" t="str">
        <f>+'Lot Pricing'!B22</f>
        <v>Manor Homes</v>
      </c>
      <c r="X25" s="47">
        <f>+'Lot Pricing'!C22*$AC$70</f>
        <v>600000</v>
      </c>
      <c r="Z25" s="30">
        <f>Proforma!T4</f>
        <v>15</v>
      </c>
      <c r="AA25" s="31">
        <f>Proforma!T5</f>
        <v>46843</v>
      </c>
      <c r="AB25" s="30">
        <f>Proforma!T9</f>
        <v>0</v>
      </c>
      <c r="AC25" s="30">
        <f>Proforma!T10</f>
        <v>0</v>
      </c>
      <c r="AD25" s="16">
        <f>Proforma!T17</f>
        <v>0</v>
      </c>
      <c r="AE25" s="33"/>
      <c r="AF25" s="30">
        <f>AB25</f>
        <v>0</v>
      </c>
      <c r="AG25" s="32">
        <v>0</v>
      </c>
      <c r="AH25" s="32">
        <v>0</v>
      </c>
      <c r="AI25" s="33"/>
      <c r="AJ25" s="35">
        <f t="shared" si="2"/>
        <v>0</v>
      </c>
      <c r="AK25" s="35">
        <f t="shared" si="5"/>
        <v>0</v>
      </c>
    </row>
    <row r="26" spans="2:37">
      <c r="B26" s="401">
        <v>0.03</v>
      </c>
      <c r="C26" s="135">
        <f t="shared" si="9"/>
        <v>0</v>
      </c>
      <c r="E26" s="1">
        <f>Proforma!BD24</f>
        <v>0</v>
      </c>
      <c r="F26" s="133">
        <f t="shared" si="8"/>
        <v>0</v>
      </c>
      <c r="G26" s="115"/>
      <c r="H26" s="39"/>
      <c r="I26" s="132" t="s">
        <v>134</v>
      </c>
      <c r="K26" s="153">
        <f>'Lot Pricing'!H7</f>
        <v>-2148013.25888725</v>
      </c>
      <c r="L26" s="153">
        <f>'Lot Pricing'!J7</f>
        <v>-24409.2415782642</v>
      </c>
      <c r="M26" s="118"/>
      <c r="N26" s="118"/>
      <c r="O26" s="118"/>
      <c r="P26" s="118"/>
      <c r="Q26" s="118"/>
      <c r="R26" s="118"/>
      <c r="S26" s="118"/>
      <c r="T26" s="118"/>
      <c r="U26" s="118"/>
      <c r="V26" s="48">
        <f>+'Lot Pricing'!A23</f>
        <v>20</v>
      </c>
      <c r="W26" s="48" t="str">
        <f>+'Lot Pricing'!B23</f>
        <v>Big House Rental</v>
      </c>
      <c r="X26" s="47">
        <f>+'Lot Pricing'!C23*$AC$70</f>
        <v>225000</v>
      </c>
      <c r="Z26" s="30">
        <f>Proforma!U4</f>
        <v>16</v>
      </c>
      <c r="AA26" s="31">
        <f>Proforma!U5</f>
        <v>46873</v>
      </c>
      <c r="AB26" s="30">
        <f>Proforma!U9</f>
        <v>0</v>
      </c>
      <c r="AC26" s="30">
        <f>Proforma!U10</f>
        <v>0</v>
      </c>
      <c r="AD26" s="16">
        <f>Proforma!U17</f>
        <v>0</v>
      </c>
      <c r="AE26" s="33"/>
      <c r="AF26" s="30">
        <f>AB26</f>
        <v>0</v>
      </c>
      <c r="AG26" s="32">
        <v>0</v>
      </c>
      <c r="AH26" s="32">
        <v>0</v>
      </c>
      <c r="AI26" s="33"/>
      <c r="AJ26" s="35">
        <f t="shared" si="2"/>
        <v>0</v>
      </c>
      <c r="AK26" s="35">
        <f t="shared" si="5"/>
        <v>0</v>
      </c>
    </row>
    <row r="27" spans="2:37">
      <c r="B27" s="132" t="s">
        <v>129</v>
      </c>
      <c r="C27" s="135">
        <f t="shared" si="9"/>
        <v>6818.18181818182</v>
      </c>
      <c r="D27" s="115"/>
      <c r="E27" s="135">
        <f>Proforma!BD25</f>
        <v>600000</v>
      </c>
      <c r="F27" s="133">
        <f t="shared" si="8"/>
        <v>0.051279858714921</v>
      </c>
      <c r="G27" s="115"/>
      <c r="H27" s="39"/>
      <c r="I27" s="132" t="s">
        <v>2</v>
      </c>
      <c r="K27" s="14">
        <f>'Lot Pricing'!H8</f>
        <v>33652207.722567</v>
      </c>
      <c r="L27" s="14">
        <f>'Lot Pricing'!J8</f>
        <v>382411.451392806</v>
      </c>
      <c r="M27" s="119"/>
      <c r="N27" s="119"/>
      <c r="O27" s="119"/>
      <c r="P27" s="119"/>
      <c r="Q27" s="119"/>
      <c r="R27" s="119"/>
      <c r="S27" s="119"/>
      <c r="T27" s="119"/>
      <c r="U27" s="119"/>
      <c r="V27" s="48">
        <f>+'Lot Pricing'!A24</f>
        <v>21</v>
      </c>
      <c r="W27" s="48" t="str">
        <f>+'Lot Pricing'!B24</f>
        <v>Big House Rental</v>
      </c>
      <c r="X27" s="47">
        <f>+'Lot Pricing'!C24*$AC$70</f>
        <v>225000</v>
      </c>
      <c r="Z27" s="30">
        <f>Proforma!V4</f>
        <v>17</v>
      </c>
      <c r="AA27" s="31">
        <f>Proforma!V5</f>
        <v>46904</v>
      </c>
      <c r="AB27" s="30">
        <f>Proforma!V9</f>
        <v>0</v>
      </c>
      <c r="AC27" s="30">
        <f>Proforma!V10</f>
        <v>0</v>
      </c>
      <c r="AD27" s="16">
        <f>Proforma!V17</f>
        <v>0</v>
      </c>
      <c r="AE27" s="33"/>
      <c r="AF27" s="30">
        <f>AB27</f>
        <v>0</v>
      </c>
      <c r="AG27" s="32">
        <v>0</v>
      </c>
      <c r="AH27" s="32">
        <v>0</v>
      </c>
      <c r="AI27" s="33"/>
      <c r="AJ27" s="35">
        <f t="shared" si="2"/>
        <v>0</v>
      </c>
      <c r="AK27" s="35">
        <f t="shared" si="5"/>
        <v>0</v>
      </c>
    </row>
    <row r="28" spans="2:37">
      <c r="B28" s="132" t="str">
        <f>Proforma!A26</f>
        <v>Entitlement</v>
      </c>
      <c r="C28" s="135">
        <f t="shared" si="9"/>
        <v>16312.5</v>
      </c>
      <c r="D28" s="115"/>
      <c r="E28" s="135">
        <f>SUM(Proforma!BD27:BD50)</f>
        <v>1435500</v>
      </c>
      <c r="F28" s="133">
        <f t="shared" si="8"/>
        <v>0.122687061975449</v>
      </c>
      <c r="G28" s="115"/>
      <c r="H28" s="39"/>
      <c r="M28" s="117"/>
      <c r="N28" s="117"/>
      <c r="O28" s="117"/>
      <c r="P28" s="117"/>
      <c r="Q28" s="117"/>
      <c r="R28" s="117"/>
      <c r="S28" s="117"/>
      <c r="T28" s="117"/>
      <c r="U28" s="117"/>
      <c r="V28" s="48">
        <f>+'Lot Pricing'!A25</f>
        <v>22</v>
      </c>
      <c r="W28" s="48" t="str">
        <f>+'Lot Pricing'!B25</f>
        <v>Big House Rental</v>
      </c>
      <c r="X28" s="47">
        <f>+'Lot Pricing'!C25*$AC$70</f>
        <v>225000</v>
      </c>
      <c r="Z28" s="30">
        <f>Proforma!W4</f>
        <v>18</v>
      </c>
      <c r="AA28" s="31">
        <f>Proforma!W5</f>
        <v>46934</v>
      </c>
      <c r="AB28" s="30">
        <f>Proforma!W9</f>
        <v>0</v>
      </c>
      <c r="AC28" s="30">
        <f>Proforma!W10</f>
        <v>0</v>
      </c>
      <c r="AD28" s="16">
        <f>Proforma!W17</f>
        <v>0</v>
      </c>
      <c r="AE28" s="33"/>
      <c r="AF28" s="30">
        <f>AB28</f>
        <v>0</v>
      </c>
      <c r="AG28" s="32">
        <v>0</v>
      </c>
      <c r="AH28" s="32">
        <v>0</v>
      </c>
      <c r="AI28" s="33"/>
      <c r="AJ28" s="35">
        <f t="shared" si="2"/>
        <v>0</v>
      </c>
      <c r="AK28" s="35">
        <f t="shared" si="5"/>
        <v>0</v>
      </c>
    </row>
    <row r="29" spans="2:37">
      <c r="B29" s="132" t="str">
        <f>Proforma!A51</f>
        <v>Hard Costs</v>
      </c>
      <c r="C29" s="135">
        <f t="shared" si="9"/>
        <v>93397.862925</v>
      </c>
      <c r="D29" s="115"/>
      <c r="E29" s="135">
        <f>SUM(Proforma!BD52:BD66)</f>
        <v>8219011.9374</v>
      </c>
      <c r="F29" s="133">
        <f t="shared" si="8"/>
        <v>0.702449618210202</v>
      </c>
      <c r="G29" s="116"/>
      <c r="H29" s="39"/>
      <c r="I29" s="13" t="s">
        <v>33</v>
      </c>
      <c r="M29" s="121"/>
      <c r="N29" s="121"/>
      <c r="O29" s="121"/>
      <c r="P29" s="121"/>
      <c r="Q29" s="121"/>
      <c r="R29" s="121"/>
      <c r="S29" s="121"/>
      <c r="T29" s="121"/>
      <c r="U29" s="121"/>
      <c r="V29" s="48">
        <f>+'Lot Pricing'!A26</f>
        <v>23</v>
      </c>
      <c r="W29" s="48" t="str">
        <f>+'Lot Pricing'!B26</f>
        <v>Big House Rental</v>
      </c>
      <c r="X29" s="47">
        <f>+'Lot Pricing'!C26*$AC$70</f>
        <v>225000</v>
      </c>
      <c r="Z29" s="30">
        <f>Proforma!X4</f>
        <v>19</v>
      </c>
      <c r="AA29" s="31">
        <f>Proforma!X5</f>
        <v>46965</v>
      </c>
      <c r="AB29" s="30">
        <f>Proforma!X9</f>
        <v>0</v>
      </c>
      <c r="AC29" s="30">
        <f>Proforma!X10</f>
        <v>0</v>
      </c>
      <c r="AD29" s="16">
        <f>Proforma!X17</f>
        <v>0</v>
      </c>
      <c r="AE29" s="33"/>
      <c r="AF29" s="30">
        <f>AB29</f>
        <v>0</v>
      </c>
      <c r="AG29" s="32">
        <v>2</v>
      </c>
      <c r="AH29" s="32">
        <v>2</v>
      </c>
      <c r="AI29" s="33"/>
      <c r="AJ29" s="35">
        <f t="shared" si="2"/>
        <v>0</v>
      </c>
      <c r="AK29" s="35">
        <f t="shared" si="5"/>
        <v>0</v>
      </c>
    </row>
    <row r="30" spans="2:37">
      <c r="B30" s="132" t="str">
        <f>Proforma!A67</f>
        <v>Soft Costs</v>
      </c>
      <c r="C30" s="137">
        <f t="shared" si="9"/>
        <v>16431.6854338548</v>
      </c>
      <c r="D30" s="115"/>
      <c r="E30" s="137">
        <f>SUM(Proforma!BD68:BD78)+Proforma!BD79</f>
        <v>1445988.31817922</v>
      </c>
      <c r="F30" s="138">
        <f t="shared" si="8"/>
        <v>0.123583461099428</v>
      </c>
      <c r="G30" s="115"/>
      <c r="H30" s="39"/>
      <c r="I30" s="136" t="s">
        <v>359</v>
      </c>
      <c r="K30" s="1">
        <f t="shared" ref="K30:K36" si="10">E24</f>
        <v>0</v>
      </c>
      <c r="L30" s="16">
        <f t="shared" ref="L30:L36" si="11">C24</f>
        <v>0</v>
      </c>
      <c r="M30" s="121"/>
      <c r="N30" s="121"/>
      <c r="O30" s="121"/>
      <c r="P30" s="121"/>
      <c r="Q30" s="121"/>
      <c r="R30" s="121"/>
      <c r="S30" s="121"/>
      <c r="T30" s="121"/>
      <c r="U30" s="121"/>
      <c r="V30" s="48">
        <f>+'Lot Pricing'!A27</f>
        <v>24</v>
      </c>
      <c r="W30" s="48" t="str">
        <f>+'Lot Pricing'!B27</f>
        <v>Big House Rental</v>
      </c>
      <c r="X30" s="47">
        <f>+'Lot Pricing'!C27*$AC$70</f>
        <v>225000</v>
      </c>
      <c r="Z30" s="30">
        <f>Proforma!Y4</f>
        <v>20</v>
      </c>
      <c r="AA30" s="31">
        <f>Proforma!Y5</f>
        <v>46996</v>
      </c>
      <c r="AB30" s="30">
        <f>Proforma!Y9</f>
        <v>0</v>
      </c>
      <c r="AC30" s="30">
        <f>Proforma!Y10</f>
        <v>0</v>
      </c>
      <c r="AD30" s="16">
        <f>Proforma!Y17</f>
        <v>0</v>
      </c>
      <c r="AE30" s="33"/>
      <c r="AF30" s="30">
        <f>AB30</f>
        <v>0</v>
      </c>
      <c r="AG30" s="32">
        <v>3</v>
      </c>
      <c r="AH30" s="32">
        <v>3</v>
      </c>
      <c r="AI30" s="33"/>
      <c r="AJ30" s="35">
        <f t="shared" si="2"/>
        <v>0</v>
      </c>
      <c r="AK30" s="35">
        <f t="shared" si="5"/>
        <v>0</v>
      </c>
    </row>
    <row r="31" spans="2:37">
      <c r="B31" s="40"/>
      <c r="C31" s="40"/>
      <c r="E31" s="16"/>
      <c r="H31" s="39"/>
      <c r="I31" s="136" t="s">
        <v>360</v>
      </c>
      <c r="K31" s="1">
        <f t="shared" si="10"/>
        <v>0</v>
      </c>
      <c r="L31" s="16">
        <f t="shared" si="11"/>
        <v>0</v>
      </c>
      <c r="M31" s="121"/>
      <c r="N31" s="121"/>
      <c r="O31" s="121"/>
      <c r="P31" s="121"/>
      <c r="Q31" s="121"/>
      <c r="R31" s="121"/>
      <c r="S31" s="121"/>
      <c r="T31" s="121"/>
      <c r="U31" s="121"/>
      <c r="V31" s="48">
        <f>+'Lot Pricing'!A28</f>
        <v>25</v>
      </c>
      <c r="W31" s="48" t="str">
        <f>+'Lot Pricing'!B28</f>
        <v>Big House Rental</v>
      </c>
      <c r="X31" s="47">
        <f>+'Lot Pricing'!C28*$AC$70</f>
        <v>225000</v>
      </c>
      <c r="Z31" s="30">
        <f>Proforma!Z4</f>
        <v>21</v>
      </c>
      <c r="AA31" s="31">
        <f>Proforma!Z5</f>
        <v>47026</v>
      </c>
      <c r="AB31" s="30">
        <f>Proforma!Z9</f>
        <v>0</v>
      </c>
      <c r="AC31" s="30">
        <f>Proforma!Z10</f>
        <v>0</v>
      </c>
      <c r="AD31" s="16">
        <f>Proforma!Z17</f>
        <v>0</v>
      </c>
      <c r="AE31" s="33"/>
      <c r="AF31" s="30">
        <f>AB31</f>
        <v>0</v>
      </c>
      <c r="AG31" s="32">
        <v>2</v>
      </c>
      <c r="AH31" s="32">
        <v>2</v>
      </c>
      <c r="AI31" s="33"/>
      <c r="AJ31" s="35">
        <f t="shared" si="2"/>
        <v>0</v>
      </c>
      <c r="AK31" s="35">
        <f t="shared" si="5"/>
        <v>0</v>
      </c>
    </row>
    <row r="32" spans="2:37" ht="13.5" thickBot="1">
      <c r="B32" s="344" t="s">
        <v>27</v>
      </c>
      <c r="C32" s="344">
        <f>SUM(C24:C30)</f>
        <v>132960.230177037</v>
      </c>
      <c r="D32" s="345"/>
      <c r="E32" s="344">
        <f>SUM(E24:E30)</f>
        <v>11700500.2555792</v>
      </c>
      <c r="F32" s="346">
        <f>SUM(F24:F31)</f>
        <v>1</v>
      </c>
      <c r="H32" s="39"/>
      <c r="I32" s="136" t="s">
        <v>361</v>
      </c>
      <c r="K32" s="1">
        <f t="shared" si="10"/>
        <v>0</v>
      </c>
      <c r="L32" s="16">
        <f t="shared" si="11"/>
        <v>0</v>
      </c>
      <c r="M32" s="115"/>
      <c r="N32" s="7" t="s">
        <v>168</v>
      </c>
      <c r="O32" s="222" t="s">
        <v>385</v>
      </c>
      <c r="P32" s="469" t="s">
        <v>171</v>
      </c>
      <c r="Q32" s="469"/>
      <c r="R32" s="223" t="s">
        <v>170</v>
      </c>
      <c r="S32" s="222"/>
      <c r="T32" s="224" t="s">
        <v>364</v>
      </c>
      <c r="U32" s="115"/>
      <c r="V32" s="48">
        <f>+'Lot Pricing'!A29</f>
        <v>26</v>
      </c>
      <c r="W32" s="48" t="str">
        <f>+'Lot Pricing'!B29</f>
        <v>Big House Rental</v>
      </c>
      <c r="X32" s="47">
        <f>+'Lot Pricing'!C29*$AC$70</f>
        <v>225000</v>
      </c>
      <c r="Z32" s="30">
        <f>Proforma!AA4</f>
        <v>22</v>
      </c>
      <c r="AA32" s="31">
        <f>Proforma!AA5</f>
        <v>47057</v>
      </c>
      <c r="AB32" s="30">
        <f>Proforma!AA9</f>
        <v>0</v>
      </c>
      <c r="AC32" s="30">
        <f>Proforma!AA10</f>
        <v>0</v>
      </c>
      <c r="AD32" s="16">
        <f>Proforma!AA17</f>
        <v>0</v>
      </c>
      <c r="AE32" s="46"/>
      <c r="AF32" s="30">
        <f>AB32</f>
        <v>0</v>
      </c>
      <c r="AG32" s="32">
        <v>3</v>
      </c>
      <c r="AH32" s="32">
        <v>3</v>
      </c>
      <c r="AI32" s="46"/>
      <c r="AJ32" s="35">
        <f t="shared" si="2"/>
        <v>0</v>
      </c>
      <c r="AK32" s="35">
        <f t="shared" si="5"/>
        <v>0</v>
      </c>
    </row>
    <row r="33" spans="2:37" ht="13.5" thickTop="1">
      <c r="H33" s="39"/>
      <c r="I33" s="136" t="s">
        <v>129</v>
      </c>
      <c r="K33" s="16">
        <f t="shared" si="10"/>
        <v>600000</v>
      </c>
      <c r="L33" s="16">
        <f t="shared" si="11"/>
        <v>6818.18181818182</v>
      </c>
      <c r="M33" s="115"/>
      <c r="N33" s="115" t="s">
        <v>350</v>
      </c>
      <c r="O33" s="412">
        <v>8</v>
      </c>
      <c r="P33" s="115">
        <v>40</v>
      </c>
      <c r="Q33" s="406">
        <v>70</v>
      </c>
      <c r="R33" s="391">
        <f>P33*Q33</f>
        <v>2800</v>
      </c>
      <c r="S33" s="115"/>
      <c r="T33" s="414">
        <f>'Lot Pricing'!C4</f>
        <v>500000</v>
      </c>
      <c r="U33" s="115"/>
      <c r="V33" s="48">
        <f>+'Lot Pricing'!A30</f>
        <v>27</v>
      </c>
      <c r="W33" s="48" t="str">
        <f>+'Lot Pricing'!B30</f>
        <v>Big House Rental</v>
      </c>
      <c r="X33" s="47">
        <f>+'Lot Pricing'!C30*$AC$70</f>
        <v>225000</v>
      </c>
      <c r="Z33" s="30">
        <f>Proforma!AB4</f>
        <v>23</v>
      </c>
      <c r="AA33" s="31">
        <f>Proforma!AB5</f>
        <v>47087</v>
      </c>
      <c r="AB33" s="30">
        <f>Proforma!AB9</f>
        <v>0</v>
      </c>
      <c r="AC33" s="30">
        <f>Proforma!AB10</f>
        <v>0</v>
      </c>
      <c r="AD33" s="16">
        <f>Proforma!AB17</f>
        <v>0</v>
      </c>
      <c r="AE33" s="33"/>
      <c r="AF33" s="30">
        <f>AB33</f>
        <v>0</v>
      </c>
      <c r="AG33" s="32">
        <v>2</v>
      </c>
      <c r="AH33" s="32">
        <v>2</v>
      </c>
      <c r="AI33" s="33"/>
      <c r="AJ33" s="35">
        <f t="shared" si="2"/>
        <v>0</v>
      </c>
      <c r="AK33" s="35">
        <f t="shared" si="5"/>
        <v>0</v>
      </c>
    </row>
    <row r="34" spans="2:37">
      <c r="B34" s="7" t="s">
        <v>172</v>
      </c>
      <c r="C34" s="222"/>
      <c r="D34" s="222"/>
      <c r="E34" s="222"/>
      <c r="F34" s="223"/>
      <c r="G34" s="45"/>
      <c r="H34" s="39"/>
      <c r="I34" s="132" t="str">
        <f>B28</f>
        <v>Entitlement</v>
      </c>
      <c r="K34" s="16">
        <f t="shared" si="10"/>
        <v>1435500</v>
      </c>
      <c r="L34" s="16">
        <f t="shared" si="11"/>
        <v>16312.5</v>
      </c>
      <c r="M34" s="122"/>
      <c r="N34" s="115" t="s">
        <v>351</v>
      </c>
      <c r="O34" s="412">
        <v>6</v>
      </c>
      <c r="P34" s="115">
        <v>28</v>
      </c>
      <c r="Q34" s="406">
        <v>40</v>
      </c>
      <c r="R34" s="391">
        <f>P34*Q34</f>
        <v>1120</v>
      </c>
      <c r="S34" s="122"/>
      <c r="T34" s="417">
        <f>'Lot Pricing'!C12</f>
        <v>300000</v>
      </c>
      <c r="U34" s="122"/>
      <c r="V34" s="48">
        <f>+'Lot Pricing'!A31</f>
        <v>28</v>
      </c>
      <c r="W34" s="48" t="str">
        <f>+'Lot Pricing'!B31</f>
        <v>Big House Rental</v>
      </c>
      <c r="X34" s="47">
        <f>+'Lot Pricing'!C31*$AC$70</f>
        <v>225000</v>
      </c>
      <c r="Z34" s="30">
        <f>Proforma!AC4</f>
        <v>24</v>
      </c>
      <c r="AA34" s="31">
        <f>Proforma!AC5</f>
        <v>47118</v>
      </c>
      <c r="AB34" s="30">
        <f>Proforma!AC9</f>
        <v>0</v>
      </c>
      <c r="AC34" s="30">
        <f>Proforma!AC10</f>
        <v>0</v>
      </c>
      <c r="AD34" s="16">
        <f>Proforma!AC17</f>
        <v>0</v>
      </c>
      <c r="AE34" s="33"/>
      <c r="AF34" s="30">
        <f>AB34</f>
        <v>0</v>
      </c>
      <c r="AG34" s="32">
        <v>3</v>
      </c>
      <c r="AH34" s="32">
        <v>3</v>
      </c>
      <c r="AI34" s="33"/>
      <c r="AJ34" s="35">
        <f t="shared" si="2"/>
        <v>0</v>
      </c>
      <c r="AK34" s="35">
        <f t="shared" si="5"/>
        <v>0</v>
      </c>
    </row>
    <row r="35" spans="2:37">
      <c r="B35" s="43"/>
      <c r="C35" s="43"/>
      <c r="D35" s="43"/>
      <c r="E35" s="43"/>
      <c r="F35" s="43"/>
      <c r="G35" s="43"/>
      <c r="I35" s="132" t="str">
        <f>B29</f>
        <v>Hard Costs</v>
      </c>
      <c r="K35" s="16">
        <f t="shared" si="10"/>
        <v>8219011.9374</v>
      </c>
      <c r="L35" s="16">
        <f t="shared" si="11"/>
        <v>93397.862925</v>
      </c>
      <c r="M35" s="123"/>
      <c r="N35" s="115" t="s">
        <v>352</v>
      </c>
      <c r="O35" s="412">
        <v>5</v>
      </c>
      <c r="P35" s="115">
        <v>60</v>
      </c>
      <c r="Q35" s="406">
        <v>90</v>
      </c>
      <c r="R35" s="391">
        <f>P35*Q35</f>
        <v>5400</v>
      </c>
      <c r="S35" s="123"/>
      <c r="T35" s="415">
        <f>'Lot Pricing'!C18</f>
        <v>600000</v>
      </c>
      <c r="U35" s="123"/>
      <c r="V35" s="48">
        <f>+'Lot Pricing'!A32</f>
        <v>29</v>
      </c>
      <c r="W35" s="48" t="str">
        <f>+'Lot Pricing'!B32</f>
        <v>Big House Rental</v>
      </c>
      <c r="X35" s="47">
        <f>+'Lot Pricing'!C32*$AC$70</f>
        <v>225000</v>
      </c>
      <c r="Z35" s="30">
        <f>Proforma!AD4</f>
        <v>25</v>
      </c>
      <c r="AA35" s="31">
        <f>Proforma!AD5</f>
        <v>47149</v>
      </c>
      <c r="AB35" s="30">
        <f>Proforma!AD9</f>
        <v>38</v>
      </c>
      <c r="AC35" s="30">
        <f>Proforma!AD10</f>
        <v>38</v>
      </c>
      <c r="AD35" s="16">
        <f>Proforma!AD17</f>
        <v>15435786.5964331</v>
      </c>
      <c r="AE35" s="33"/>
      <c r="AF35" s="30">
        <f>AB35</f>
        <v>38</v>
      </c>
      <c r="AG35" s="32">
        <v>2</v>
      </c>
      <c r="AH35" s="32">
        <v>2</v>
      </c>
      <c r="AI35" s="33"/>
      <c r="AJ35" s="35">
        <f t="shared" si="2"/>
        <v>926147.195785985</v>
      </c>
      <c r="AK35" s="35">
        <f t="shared" si="5"/>
        <v>14509639.4006471</v>
      </c>
    </row>
    <row r="36" spans="2:37">
      <c r="B36" s="43"/>
      <c r="C36" s="43"/>
      <c r="D36" s="43"/>
      <c r="E36" s="43"/>
      <c r="F36" s="43"/>
      <c r="G36" s="43"/>
      <c r="I36" s="132" t="str">
        <f>B30</f>
        <v>Soft Costs</v>
      </c>
      <c r="K36" s="154">
        <f t="shared" si="10"/>
        <v>1445988.31817922</v>
      </c>
      <c r="L36" s="154">
        <f t="shared" si="11"/>
        <v>16431.6854338548</v>
      </c>
      <c r="M36" s="47"/>
      <c r="N36" s="115" t="s">
        <v>384</v>
      </c>
      <c r="O36" s="412">
        <v>12</v>
      </c>
      <c r="P36" s="403" t="s">
        <v>362</v>
      </c>
      <c r="Q36" s="406" t="s">
        <v>362</v>
      </c>
      <c r="R36" s="404" t="s">
        <v>362</v>
      </c>
      <c r="S36" s="407"/>
      <c r="T36" s="415">
        <f>'Lot Pricing'!C23</f>
        <v>225000</v>
      </c>
      <c r="U36" s="47"/>
      <c r="V36" s="48">
        <f>+'Lot Pricing'!A33</f>
        <v>30</v>
      </c>
      <c r="W36" s="48" t="str">
        <f>+'Lot Pricing'!B33</f>
        <v>Big House Rental</v>
      </c>
      <c r="X36" s="47">
        <f>+'Lot Pricing'!C33*$AC$70</f>
        <v>225000</v>
      </c>
      <c r="Z36" s="30">
        <f>Proforma!AE4</f>
        <v>26</v>
      </c>
      <c r="AA36" s="31">
        <f>Proforma!AE5</f>
        <v>47177</v>
      </c>
      <c r="AB36" s="30">
        <f>Proforma!AE9</f>
        <v>2</v>
      </c>
      <c r="AC36" s="30">
        <f>Proforma!AE10</f>
        <v>40</v>
      </c>
      <c r="AD36" s="16">
        <f>Proforma!AE17</f>
        <v>812409.820864899</v>
      </c>
      <c r="AE36" s="33"/>
      <c r="AF36" s="30">
        <f>AB36</f>
        <v>2</v>
      </c>
      <c r="AG36" s="32">
        <v>3</v>
      </c>
      <c r="AH36" s="32">
        <v>3</v>
      </c>
      <c r="AI36" s="33"/>
      <c r="AJ36" s="35">
        <f t="shared" si="2"/>
        <v>48744.5892518939</v>
      </c>
      <c r="AK36" s="35">
        <f t="shared" si="5"/>
        <v>763665.231613005</v>
      </c>
    </row>
    <row r="37" spans="2:37">
      <c r="H37" s="122"/>
      <c r="I37" s="132" t="s">
        <v>119</v>
      </c>
      <c r="K37" s="14">
        <f>SUM(K30:K36)</f>
        <v>11700500.2555792</v>
      </c>
      <c r="L37" s="14">
        <f>SUM(L30:L36)</f>
        <v>132960.230177037</v>
      </c>
      <c r="M37" s="47"/>
      <c r="N37" s="115" t="s">
        <v>363</v>
      </c>
      <c r="O37" s="412">
        <v>4</v>
      </c>
      <c r="P37" s="115">
        <v>36</v>
      </c>
      <c r="Q37" s="406">
        <v>36</v>
      </c>
      <c r="R37" s="391">
        <f t="shared" ref="R37:R42" si="12">P37*Q37</f>
        <v>1296</v>
      </c>
      <c r="S37" s="407"/>
      <c r="T37" s="415">
        <f>'Lot Pricing'!C35</f>
        <v>250000</v>
      </c>
      <c r="U37" s="47"/>
      <c r="V37" s="48">
        <f>+'Lot Pricing'!A34</f>
        <v>31</v>
      </c>
      <c r="W37" s="48" t="str">
        <f>+'Lot Pricing'!B34</f>
        <v>Big House Rental</v>
      </c>
      <c r="X37" s="47">
        <f>+'Lot Pricing'!C34*$AC$70</f>
        <v>225000</v>
      </c>
      <c r="Z37" s="30">
        <f>Proforma!AF4</f>
        <v>27</v>
      </c>
      <c r="AA37" s="31">
        <f>Proforma!AF5</f>
        <v>47208</v>
      </c>
      <c r="AB37" s="30">
        <f>Proforma!AF9</f>
        <v>2</v>
      </c>
      <c r="AC37" s="30">
        <f>Proforma!AF10</f>
        <v>42</v>
      </c>
      <c r="AD37" s="16">
        <f>Proforma!AF17</f>
        <v>812409.820864899</v>
      </c>
      <c r="AE37" s="33"/>
      <c r="AF37" s="30">
        <f>AB37</f>
        <v>2</v>
      </c>
      <c r="AG37" s="32">
        <v>2</v>
      </c>
      <c r="AH37" s="32">
        <v>2</v>
      </c>
      <c r="AI37" s="33"/>
      <c r="AJ37" s="35">
        <f t="shared" si="2"/>
        <v>48744.5892518939</v>
      </c>
      <c r="AK37" s="35">
        <f t="shared" si="5"/>
        <v>763665.231613005</v>
      </c>
    </row>
    <row r="38" spans="2:37">
      <c r="M38" s="47"/>
      <c r="N38" s="115" t="s">
        <v>355</v>
      </c>
      <c r="O38" s="412">
        <v>9</v>
      </c>
      <c r="P38" s="115">
        <v>28</v>
      </c>
      <c r="Q38" s="406">
        <v>40</v>
      </c>
      <c r="R38" s="391">
        <f t="shared" si="12"/>
        <v>1120</v>
      </c>
      <c r="S38" s="407"/>
      <c r="T38" s="415">
        <f>'Lot Pricing'!C39</f>
        <v>300000</v>
      </c>
      <c r="U38" s="47"/>
      <c r="V38" s="48">
        <f>+'Lot Pricing'!A35</f>
        <v>32</v>
      </c>
      <c r="W38" s="48" t="str">
        <f>+'Lot Pricing'!B35</f>
        <v>Tree houses</v>
      </c>
      <c r="X38" s="47">
        <f>+'Lot Pricing'!C35*$AC$70</f>
        <v>250000</v>
      </c>
      <c r="Z38" s="30">
        <f>Proforma!AG4</f>
        <v>28</v>
      </c>
      <c r="AA38" s="31">
        <f>Proforma!AG5</f>
        <v>47238</v>
      </c>
      <c r="AB38" s="30">
        <f>Proforma!AG9</f>
        <v>2</v>
      </c>
      <c r="AC38" s="30">
        <f>Proforma!AG10</f>
        <v>44</v>
      </c>
      <c r="AD38" s="16">
        <f>Proforma!AG17</f>
        <v>812409.820864899</v>
      </c>
      <c r="AE38" s="33"/>
      <c r="AF38" s="30">
        <f>AB38</f>
        <v>2</v>
      </c>
      <c r="AG38" s="32">
        <v>3</v>
      </c>
      <c r="AH38" s="32">
        <v>3</v>
      </c>
      <c r="AI38" s="33"/>
      <c r="AJ38" s="35">
        <f t="shared" si="2"/>
        <v>48744.5892518939</v>
      </c>
      <c r="AK38" s="35">
        <f t="shared" si="5"/>
        <v>763665.231613005</v>
      </c>
    </row>
    <row r="39" spans="2:37">
      <c r="B39" s="37"/>
      <c r="C39" s="37"/>
      <c r="D39" s="37"/>
      <c r="E39" s="37"/>
      <c r="F39" s="37"/>
      <c r="G39" s="37"/>
      <c r="I39" s="13" t="s">
        <v>17</v>
      </c>
      <c r="K39" s="43">
        <f>K27-K37</f>
        <v>21951707.4669877</v>
      </c>
      <c r="L39" s="43">
        <f>L27-L37</f>
        <v>249451.22121577</v>
      </c>
      <c r="M39" s="51"/>
      <c r="N39" s="115" t="s">
        <v>356</v>
      </c>
      <c r="O39" s="412">
        <v>8</v>
      </c>
      <c r="P39" s="115">
        <f>46</f>
        <v>46</v>
      </c>
      <c r="Q39" s="406">
        <v>64</v>
      </c>
      <c r="R39" s="391">
        <f t="shared" si="12"/>
        <v>2944</v>
      </c>
      <c r="S39" s="408"/>
      <c r="T39" s="416">
        <f>'Lot Pricing'!C48</f>
        <v>450000</v>
      </c>
      <c r="U39" s="51"/>
      <c r="V39" s="48">
        <f>+'Lot Pricing'!A36</f>
        <v>33</v>
      </c>
      <c r="W39" s="48" t="str">
        <f>+'Lot Pricing'!B36</f>
        <v>Tree houses</v>
      </c>
      <c r="X39" s="47">
        <f>+'Lot Pricing'!C36*$AC$70</f>
        <v>250000</v>
      </c>
      <c r="Z39" s="30">
        <f>Proforma!AH4</f>
        <v>29</v>
      </c>
      <c r="AA39" s="31">
        <f>Proforma!AH5</f>
        <v>47269</v>
      </c>
      <c r="AB39" s="30">
        <f>Proforma!AH9</f>
        <v>2</v>
      </c>
      <c r="AC39" s="30">
        <f>Proforma!AH10</f>
        <v>46</v>
      </c>
      <c r="AD39" s="16">
        <f>Proforma!AH17</f>
        <v>812409.820864899</v>
      </c>
      <c r="AE39" s="33"/>
      <c r="AF39" s="30">
        <f>AB39</f>
        <v>2</v>
      </c>
      <c r="AG39" s="32">
        <v>2</v>
      </c>
      <c r="AH39" s="32">
        <v>2</v>
      </c>
      <c r="AI39" s="33"/>
      <c r="AJ39" s="35">
        <f t="shared" si="2"/>
        <v>48744.5892518939</v>
      </c>
      <c r="AK39" s="35">
        <f t="shared" si="5"/>
        <v>763665.231613005</v>
      </c>
    </row>
    <row r="40" spans="2:37">
      <c r="B40" s="37"/>
      <c r="C40" s="37"/>
      <c r="D40" s="37"/>
      <c r="E40" s="37"/>
      <c r="F40" s="37"/>
      <c r="G40" s="37"/>
      <c r="H40" s="50"/>
      <c r="M40" s="47"/>
      <c r="N40" s="115" t="s">
        <v>357</v>
      </c>
      <c r="O40" s="412">
        <v>9</v>
      </c>
      <c r="P40" s="115">
        <v>55</v>
      </c>
      <c r="Q40" s="406">
        <v>90</v>
      </c>
      <c r="R40" s="391">
        <f t="shared" si="12"/>
        <v>4950</v>
      </c>
      <c r="S40" s="407"/>
      <c r="T40" s="415">
        <f>'Lot Pricing'!C56</f>
        <v>400000</v>
      </c>
      <c r="U40" s="47"/>
      <c r="V40" s="48">
        <f>+'Lot Pricing'!A37</f>
        <v>34</v>
      </c>
      <c r="W40" s="48" t="str">
        <f>+'Lot Pricing'!B37</f>
        <v>Tree houses</v>
      </c>
      <c r="X40" s="47">
        <f>+'Lot Pricing'!C37*$AC$70</f>
        <v>250000</v>
      </c>
      <c r="Z40" s="30">
        <f>Proforma!AI4</f>
        <v>30</v>
      </c>
      <c r="AA40" s="31">
        <f>Proforma!AI5</f>
        <v>47299</v>
      </c>
      <c r="AB40" s="30">
        <f>Proforma!AI9</f>
        <v>2</v>
      </c>
      <c r="AC40" s="30">
        <f>Proforma!AI10</f>
        <v>48</v>
      </c>
      <c r="AD40" s="16">
        <f>Proforma!AI17</f>
        <v>812409.820864899</v>
      </c>
      <c r="AE40" s="33"/>
      <c r="AF40" s="30">
        <f>AB40</f>
        <v>2</v>
      </c>
      <c r="AG40" s="32">
        <v>3</v>
      </c>
      <c r="AH40" s="32">
        <v>3</v>
      </c>
      <c r="AI40" s="33"/>
      <c r="AJ40" s="35">
        <f t="shared" si="2"/>
        <v>48744.5892518939</v>
      </c>
      <c r="AK40" s="35">
        <f t="shared" si="5"/>
        <v>763665.231613005</v>
      </c>
    </row>
    <row r="41" spans="2:37">
      <c r="B41" s="33"/>
      <c r="C41" s="33"/>
      <c r="D41" s="33"/>
      <c r="E41" s="33"/>
      <c r="F41" s="33"/>
      <c r="G41" s="33"/>
      <c r="H41" s="43"/>
      <c r="I41" s="1" t="s">
        <v>49</v>
      </c>
      <c r="K41" s="14">
        <f>'Lot Pricing'!H23</f>
        <v>11303558.9677004</v>
      </c>
      <c r="M41" s="47"/>
      <c r="N41" s="115" t="s">
        <v>356</v>
      </c>
      <c r="O41" s="412">
        <v>24</v>
      </c>
      <c r="P41" s="115">
        <v>46</v>
      </c>
      <c r="Q41" s="406">
        <v>64</v>
      </c>
      <c r="R41" s="391">
        <f t="shared" si="12"/>
        <v>2944</v>
      </c>
      <c r="S41" s="115"/>
      <c r="T41" s="414">
        <f>'Lot Pricing'!C65</f>
        <v>450000</v>
      </c>
      <c r="U41" s="47"/>
      <c r="V41" s="48">
        <f>+'Lot Pricing'!A38</f>
        <v>35</v>
      </c>
      <c r="W41" s="48" t="str">
        <f>+'Lot Pricing'!B38</f>
        <v>Tree houses</v>
      </c>
      <c r="X41" s="47">
        <f>+'Lot Pricing'!C38*$AC$70</f>
        <v>250000</v>
      </c>
      <c r="Z41" s="30">
        <f>Proforma!AJ4</f>
        <v>31</v>
      </c>
      <c r="AA41" s="31">
        <f>Proforma!AJ5</f>
        <v>47330</v>
      </c>
      <c r="AB41" s="30">
        <f>Proforma!AJ9</f>
        <v>2</v>
      </c>
      <c r="AC41" s="30">
        <f>Proforma!AJ10</f>
        <v>50</v>
      </c>
      <c r="AD41" s="16">
        <f>Proforma!AJ17</f>
        <v>812409.820864899</v>
      </c>
      <c r="AE41" s="33"/>
      <c r="AF41" s="30">
        <f>AB41</f>
        <v>2</v>
      </c>
      <c r="AG41" s="32">
        <v>2</v>
      </c>
      <c r="AH41" s="32">
        <v>2</v>
      </c>
      <c r="AI41" s="33"/>
      <c r="AJ41" s="35">
        <f t="shared" si="2"/>
        <v>48744.5892518939</v>
      </c>
      <c r="AK41" s="35">
        <f t="shared" si="5"/>
        <v>763665.231613005</v>
      </c>
    </row>
    <row r="42" spans="2:37">
      <c r="B42" s="14"/>
      <c r="C42" s="14"/>
      <c r="D42" s="14"/>
      <c r="E42" s="14"/>
      <c r="F42" s="14"/>
      <c r="G42" s="14"/>
      <c r="H42" s="43"/>
      <c r="L42" s="121"/>
      <c r="M42" s="47"/>
      <c r="N42" s="409" t="s">
        <v>358</v>
      </c>
      <c r="O42" s="413">
        <v>3</v>
      </c>
      <c r="P42" s="409">
        <v>90</v>
      </c>
      <c r="Q42" s="410">
        <v>100</v>
      </c>
      <c r="R42" s="405">
        <f t="shared" si="12"/>
        <v>9000</v>
      </c>
      <c r="S42" s="411"/>
      <c r="T42" s="418">
        <f>'Lot Pricing'!C89</f>
        <v>750000</v>
      </c>
      <c r="U42" s="47"/>
      <c r="V42" s="48">
        <f>+'Lot Pricing'!A39</f>
        <v>36</v>
      </c>
      <c r="W42" s="48" t="str">
        <f>+'Lot Pricing'!B39</f>
        <v>Pool Bungalows</v>
      </c>
      <c r="X42" s="47">
        <f>+'Lot Pricing'!C39*$AC$70</f>
        <v>300000</v>
      </c>
      <c r="Z42" s="30">
        <f>Proforma!AK4</f>
        <v>32</v>
      </c>
      <c r="AA42" s="31">
        <f>Proforma!AK5</f>
        <v>47361</v>
      </c>
      <c r="AB42" s="30">
        <f>Proforma!AK9</f>
        <v>2</v>
      </c>
      <c r="AC42" s="30">
        <f>Proforma!AK10</f>
        <v>52</v>
      </c>
      <c r="AD42" s="16">
        <f>Proforma!AK17</f>
        <v>812409.820864899</v>
      </c>
      <c r="AE42" s="33"/>
      <c r="AF42" s="30">
        <f>AB42</f>
        <v>2</v>
      </c>
      <c r="AG42" s="32">
        <v>3</v>
      </c>
      <c r="AH42" s="32">
        <v>3</v>
      </c>
      <c r="AI42" s="33"/>
      <c r="AJ42" s="35">
        <f t="shared" si="2"/>
        <v>48744.5892518939</v>
      </c>
      <c r="AK42" s="35">
        <f t="shared" si="5"/>
        <v>763665.231613005</v>
      </c>
    </row>
    <row r="43" spans="2:37">
      <c r="B43" s="33"/>
      <c r="C43" s="33"/>
      <c r="D43" s="33"/>
      <c r="E43" s="33"/>
      <c r="F43" s="33"/>
      <c r="G43" s="33"/>
      <c r="I43" s="115"/>
      <c r="J43" s="115"/>
      <c r="K43" s="112"/>
      <c r="M43" s="47"/>
      <c r="N43" s="2" t="s">
        <v>365</v>
      </c>
      <c r="O43" s="26">
        <f>SUM(O33:O42)</f>
        <v>88</v>
      </c>
      <c r="P43" s="2"/>
      <c r="Q43" s="2"/>
      <c r="R43" s="419"/>
      <c r="S43" s="420"/>
      <c r="T43" s="421">
        <f>SUMPRODUCT(O33:O42,T33:T42)</f>
        <v>35450000</v>
      </c>
      <c r="U43" s="47"/>
      <c r="V43" s="48">
        <f>+'Lot Pricing'!A40</f>
        <v>37</v>
      </c>
      <c r="W43" s="48" t="str">
        <f>+'Lot Pricing'!B40</f>
        <v>Pool Bungalows</v>
      </c>
      <c r="X43" s="47">
        <f>+'Lot Pricing'!C40*$AC$70</f>
        <v>300000</v>
      </c>
      <c r="Z43" s="30">
        <f>Proforma!AL4</f>
        <v>33</v>
      </c>
      <c r="AA43" s="31">
        <f>Proforma!AL5</f>
        <v>47391</v>
      </c>
      <c r="AB43" s="30">
        <f>Proforma!AL9</f>
        <v>2</v>
      </c>
      <c r="AC43" s="30">
        <f>Proforma!AL10</f>
        <v>54</v>
      </c>
      <c r="AD43" s="16">
        <f>Proforma!AL17</f>
        <v>812409.820864899</v>
      </c>
      <c r="AE43" s="33"/>
      <c r="AF43" s="30">
        <f>AB43</f>
        <v>2</v>
      </c>
      <c r="AG43" s="32">
        <v>2</v>
      </c>
      <c r="AH43" s="32">
        <v>2</v>
      </c>
      <c r="AI43" s="33"/>
      <c r="AJ43" s="35">
        <f t="shared" si="2"/>
        <v>48744.5892518939</v>
      </c>
      <c r="AK43" s="35">
        <f t="shared" si="5"/>
        <v>763665.231613005</v>
      </c>
    </row>
    <row r="44" spans="2:37">
      <c r="B44" s="33"/>
      <c r="C44" s="33"/>
      <c r="D44" s="33"/>
      <c r="E44" s="33"/>
      <c r="F44" s="33"/>
      <c r="G44" s="33"/>
      <c r="M44" s="47"/>
      <c r="S44" s="51"/>
      <c r="T44" s="51"/>
      <c r="U44" s="47"/>
      <c r="V44" s="48">
        <f>+'Lot Pricing'!A41</f>
        <v>38</v>
      </c>
      <c r="W44" s="48" t="str">
        <f>+'Lot Pricing'!B41</f>
        <v>Pool Bungalows</v>
      </c>
      <c r="X44" s="47">
        <f>+'Lot Pricing'!C41*$AC$70</f>
        <v>300000</v>
      </c>
      <c r="Z44" s="30">
        <f>Proforma!AM4</f>
        <v>34</v>
      </c>
      <c r="AA44" s="31">
        <f>Proforma!AM5</f>
        <v>47422</v>
      </c>
      <c r="AB44" s="30">
        <f>Proforma!AM9</f>
        <v>2</v>
      </c>
      <c r="AC44" s="30">
        <f>Proforma!AM10</f>
        <v>56</v>
      </c>
      <c r="AD44" s="16">
        <f>Proforma!AM17</f>
        <v>812409.820864899</v>
      </c>
      <c r="AE44" s="33"/>
      <c r="AF44" s="30">
        <f>AB44</f>
        <v>2</v>
      </c>
      <c r="AG44" s="32">
        <v>3</v>
      </c>
      <c r="AH44" s="32">
        <v>3</v>
      </c>
      <c r="AI44" s="33"/>
      <c r="AJ44" s="35">
        <f t="shared" si="2"/>
        <v>48744.5892518939</v>
      </c>
      <c r="AK44" s="35">
        <f t="shared" si="5"/>
        <v>763665.231613005</v>
      </c>
    </row>
    <row r="45" spans="2:37">
      <c r="B45" s="33"/>
      <c r="C45" s="33"/>
      <c r="D45" s="33"/>
      <c r="E45" s="33"/>
      <c r="F45" s="33"/>
      <c r="G45" s="33"/>
      <c r="H45" s="37"/>
      <c r="I45" s="337"/>
      <c r="J45" s="115"/>
      <c r="K45" s="115"/>
      <c r="L45" s="117"/>
      <c r="M45" s="47"/>
      <c r="S45" s="51"/>
      <c r="T45" s="51"/>
      <c r="U45" s="47"/>
      <c r="V45" s="48">
        <f>+'Lot Pricing'!A42</f>
        <v>39</v>
      </c>
      <c r="W45" s="48" t="str">
        <f>+'Lot Pricing'!B42</f>
        <v>Pool Bungalows</v>
      </c>
      <c r="X45" s="47">
        <f>+'Lot Pricing'!C42*$AC$70</f>
        <v>300000</v>
      </c>
      <c r="Z45" s="30">
        <f>Proforma!AN4</f>
        <v>35</v>
      </c>
      <c r="AA45" s="31">
        <f>Proforma!AN5</f>
        <v>47452</v>
      </c>
      <c r="AB45" s="30">
        <f>Proforma!AN9</f>
        <v>2</v>
      </c>
      <c r="AC45" s="30">
        <f>Proforma!AN10</f>
        <v>58</v>
      </c>
      <c r="AD45" s="16">
        <f>Proforma!AN17</f>
        <v>812409.820864899</v>
      </c>
      <c r="AE45" s="33"/>
      <c r="AF45" s="30">
        <f>AB45</f>
        <v>2</v>
      </c>
      <c r="AG45" s="32">
        <v>2</v>
      </c>
      <c r="AH45" s="32">
        <v>2</v>
      </c>
      <c r="AI45" s="33"/>
      <c r="AJ45" s="35">
        <f t="shared" si="2"/>
        <v>48744.5892518939</v>
      </c>
      <c r="AK45" s="35">
        <f t="shared" si="5"/>
        <v>763665.231613005</v>
      </c>
    </row>
    <row r="46" spans="2:37">
      <c r="H46" s="37"/>
      <c r="I46" s="337"/>
      <c r="J46" s="115"/>
      <c r="K46" s="115"/>
      <c r="L46" s="117"/>
      <c r="M46" s="47"/>
      <c r="S46" s="51"/>
      <c r="T46" s="51"/>
      <c r="U46" s="47"/>
      <c r="V46" s="48"/>
      <c r="W46" s="48"/>
      <c r="X46" s="47"/>
      <c r="Z46" s="30">
        <f>Proforma!AO4</f>
        <v>36</v>
      </c>
      <c r="AA46" s="31">
        <f>Proforma!AO5</f>
        <v>47483</v>
      </c>
      <c r="AB46" s="30">
        <f>Proforma!AO9</f>
        <v>2</v>
      </c>
      <c r="AC46" s="30">
        <f>Proforma!AO10</f>
        <v>60</v>
      </c>
      <c r="AD46" s="16">
        <f>Proforma!AO17</f>
        <v>812409.820864899</v>
      </c>
      <c r="AE46" s="33"/>
      <c r="AF46" s="30">
        <f>AB46</f>
        <v>2</v>
      </c>
      <c r="AG46" s="32"/>
      <c r="AH46" s="32"/>
      <c r="AI46" s="33"/>
      <c r="AJ46" s="35"/>
      <c r="AK46" s="35"/>
    </row>
    <row r="47" spans="2:37" ht="13.5" thickBot="1">
      <c r="I47" s="143"/>
      <c r="J47" s="143"/>
      <c r="K47" s="143"/>
      <c r="L47" s="143"/>
      <c r="N47" s="36"/>
      <c r="O47" s="36"/>
      <c r="P47" s="36"/>
      <c r="Q47" s="36"/>
      <c r="R47" s="36"/>
      <c r="S47" s="36"/>
      <c r="T47" s="36"/>
      <c r="V47" s="48">
        <f>+'Lot Pricing'!A43</f>
        <v>40</v>
      </c>
      <c r="W47" s="48" t="str">
        <f>+'Lot Pricing'!B43</f>
        <v>Pool Bungalows</v>
      </c>
      <c r="X47" s="47">
        <f>+'Lot Pricing'!C43*$AC$70</f>
        <v>300000</v>
      </c>
      <c r="Z47" s="30">
        <f>Proforma!AP4</f>
        <v>37</v>
      </c>
      <c r="AA47" s="31">
        <f>Proforma!AP5</f>
        <v>47514</v>
      </c>
      <c r="AB47" s="30">
        <f>Proforma!AP9</f>
        <v>2</v>
      </c>
      <c r="AC47" s="30">
        <f>Proforma!AP10</f>
        <v>62</v>
      </c>
      <c r="AD47" s="16">
        <f>Proforma!AP17</f>
        <v>815794.861785169</v>
      </c>
      <c r="AE47" s="33"/>
      <c r="AF47" s="30">
        <f>AB47</f>
        <v>2</v>
      </c>
      <c r="AG47" s="32">
        <v>3</v>
      </c>
      <c r="AH47" s="32">
        <v>3</v>
      </c>
      <c r="AI47" s="33"/>
      <c r="AJ47" s="35">
        <f t="shared" si="2"/>
        <v>48947.6917071102</v>
      </c>
      <c r="AK47" s="35">
        <f t="shared" si="5"/>
        <v>766847.170078059</v>
      </c>
    </row>
    <row r="48" spans="2:37">
      <c r="H48" s="37"/>
      <c r="I48" s="115"/>
      <c r="J48" s="115"/>
      <c r="K48" s="115"/>
      <c r="L48" s="115"/>
      <c r="M48" s="47"/>
      <c r="V48" s="48"/>
      <c r="W48" s="48"/>
      <c r="X48" s="47"/>
      <c r="Z48" s="30">
        <f>Proforma!AQ4</f>
        <v>38</v>
      </c>
      <c r="AA48" s="31">
        <f>Proforma!AQ5</f>
        <v>47542</v>
      </c>
      <c r="AB48" s="30">
        <f>Proforma!AQ9</f>
        <v>2</v>
      </c>
      <c r="AC48" s="30">
        <f>Proforma!AQ10</f>
        <v>64</v>
      </c>
      <c r="AD48" s="16">
        <f>Proforma!AQ17</f>
        <v>815794.861785169</v>
      </c>
      <c r="AE48" s="33"/>
      <c r="AF48" s="30">
        <f>AB48</f>
        <v>2</v>
      </c>
      <c r="AG48" s="32"/>
      <c r="AH48" s="32"/>
      <c r="AI48" s="33"/>
      <c r="AJ48" s="35"/>
      <c r="AK48" s="35"/>
    </row>
    <row r="49" spans="2:37">
      <c r="H49" s="37"/>
      <c r="M49" s="47"/>
      <c r="V49" s="48">
        <f>+'Lot Pricing'!A44</f>
        <v>41</v>
      </c>
      <c r="W49" s="48" t="str">
        <f>+'Lot Pricing'!B44</f>
        <v>Pool Bungalows</v>
      </c>
      <c r="X49" s="47">
        <f>+'Lot Pricing'!C44*$AC$70</f>
        <v>300000</v>
      </c>
      <c r="Z49" s="30">
        <f>Proforma!AR4</f>
        <v>39</v>
      </c>
      <c r="AA49" s="31">
        <f>Proforma!AR5</f>
        <v>47573</v>
      </c>
      <c r="AB49" s="30">
        <f>Proforma!AR9</f>
        <v>2</v>
      </c>
      <c r="AC49" s="30">
        <f>Proforma!AR10</f>
        <v>66</v>
      </c>
      <c r="AD49" s="16">
        <f>Proforma!AR17</f>
        <v>815794.861785169</v>
      </c>
      <c r="AE49" s="33"/>
      <c r="AF49" s="30">
        <f>AB49</f>
        <v>2</v>
      </c>
      <c r="AG49" s="32">
        <v>2</v>
      </c>
      <c r="AH49" s="32">
        <v>2</v>
      </c>
      <c r="AI49" s="33"/>
      <c r="AJ49" s="35">
        <f t="shared" si="2"/>
        <v>48947.6917071102</v>
      </c>
      <c r="AK49" s="35">
        <f t="shared" si="5"/>
        <v>766847.170078059</v>
      </c>
    </row>
    <row r="50" spans="2:37">
      <c r="H50" s="14"/>
      <c r="I50" s="2"/>
      <c r="J50" s="2"/>
      <c r="K50" s="2"/>
      <c r="L50" s="43"/>
      <c r="M50" s="47"/>
      <c r="U50" s="47"/>
      <c r="V50" s="48">
        <f>+'Lot Pricing'!A45</f>
        <v>42</v>
      </c>
      <c r="W50" s="48" t="str">
        <f>+'Lot Pricing'!B45</f>
        <v>Pool Bungalows</v>
      </c>
      <c r="X50" s="47">
        <f>+'Lot Pricing'!C45*$AC$70</f>
        <v>300000</v>
      </c>
      <c r="Y50" s="39"/>
      <c r="Z50" s="30">
        <f>Proforma!AS4</f>
        <v>40</v>
      </c>
      <c r="AA50" s="31">
        <f>Proforma!AS5</f>
        <v>47603</v>
      </c>
      <c r="AB50" s="30">
        <f>Proforma!AS9</f>
        <v>2</v>
      </c>
      <c r="AC50" s="30">
        <f>Proforma!AS10</f>
        <v>68</v>
      </c>
      <c r="AD50" s="16">
        <f>Proforma!AS17</f>
        <v>815794.861785169</v>
      </c>
      <c r="AE50" s="33"/>
      <c r="AF50" s="30">
        <f>AB50</f>
        <v>2</v>
      </c>
      <c r="AG50" s="32">
        <v>3</v>
      </c>
      <c r="AH50" s="32">
        <v>3</v>
      </c>
      <c r="AI50" s="33"/>
      <c r="AJ50" s="35">
        <f t="shared" si="2"/>
        <v>48947.6917071102</v>
      </c>
      <c r="AK50" s="35">
        <f t="shared" si="5"/>
        <v>766847.170078059</v>
      </c>
    </row>
    <row r="51" spans="2:37">
      <c r="H51" s="33"/>
      <c r="L51" s="14"/>
      <c r="M51" s="47"/>
      <c r="U51" s="47"/>
      <c r="V51" s="48">
        <f>+'Lot Pricing'!A46</f>
        <v>43</v>
      </c>
      <c r="W51" s="48" t="str">
        <f>+'Lot Pricing'!B46</f>
        <v>Pool Bungalows</v>
      </c>
      <c r="X51" s="47">
        <f>+'Lot Pricing'!C46*$AC$70</f>
        <v>300000</v>
      </c>
      <c r="Y51" s="39"/>
      <c r="Z51" s="30">
        <f>Proforma!AT4</f>
        <v>41</v>
      </c>
      <c r="AA51" s="31">
        <f>Proforma!AT5</f>
        <v>47634</v>
      </c>
      <c r="AB51" s="30">
        <f>Proforma!AT9</f>
        <v>2</v>
      </c>
      <c r="AC51" s="30">
        <f>Proforma!AT10</f>
        <v>70</v>
      </c>
      <c r="AD51" s="16">
        <f>Proforma!AT17</f>
        <v>815794.861785169</v>
      </c>
      <c r="AE51" s="33"/>
      <c r="AF51" s="30">
        <f>AB51</f>
        <v>2</v>
      </c>
      <c r="AG51" s="32">
        <v>2</v>
      </c>
      <c r="AH51" s="32">
        <v>2</v>
      </c>
      <c r="AI51" s="33"/>
      <c r="AJ51" s="35">
        <f t="shared" si="2"/>
        <v>48947.6917071102</v>
      </c>
      <c r="AK51" s="35">
        <f t="shared" si="5"/>
        <v>766847.170078059</v>
      </c>
    </row>
    <row r="52" spans="2:37">
      <c r="H52" s="33"/>
      <c r="M52" s="47"/>
      <c r="U52" s="47"/>
      <c r="V52" s="48">
        <f>+'Lot Pricing'!A47</f>
        <v>44</v>
      </c>
      <c r="W52" s="48" t="str">
        <f>+'Lot Pricing'!B47</f>
        <v>Pool Bungalows</v>
      </c>
      <c r="X52" s="47">
        <f>+'Lot Pricing'!C47*$AC$70</f>
        <v>300000</v>
      </c>
      <c r="Y52" s="39"/>
      <c r="Z52" s="30">
        <f>Proforma!AU4</f>
        <v>42</v>
      </c>
      <c r="AA52" s="31">
        <f>Proforma!AU5</f>
        <v>47664</v>
      </c>
      <c r="AB52" s="30">
        <f>Proforma!AU9</f>
        <v>2</v>
      </c>
      <c r="AC52" s="30">
        <f>Proforma!AU10</f>
        <v>72</v>
      </c>
      <c r="AD52" s="16">
        <f>Proforma!AU17</f>
        <v>815794.861785169</v>
      </c>
      <c r="AE52" s="33"/>
      <c r="AF52" s="30">
        <f>AB52</f>
        <v>2</v>
      </c>
      <c r="AG52" s="32">
        <v>3</v>
      </c>
      <c r="AH52" s="32">
        <v>3</v>
      </c>
      <c r="AI52" s="33"/>
      <c r="AJ52" s="35">
        <f t="shared" si="2"/>
        <v>48947.6917071102</v>
      </c>
      <c r="AK52" s="35">
        <f t="shared" si="5"/>
        <v>766847.170078059</v>
      </c>
    </row>
    <row r="53" spans="2:37">
      <c r="H53" s="33"/>
      <c r="M53" s="47"/>
      <c r="U53" s="47"/>
      <c r="V53" s="48">
        <f>+'Lot Pricing'!A48</f>
        <v>45</v>
      </c>
      <c r="W53" s="48" t="str">
        <f>+'Lot Pricing'!B48</f>
        <v>Lake Cottages</v>
      </c>
      <c r="X53" s="47">
        <f>+'Lot Pricing'!C48*$AC$70</f>
        <v>450000</v>
      </c>
      <c r="Y53" s="39"/>
      <c r="Z53" s="30">
        <f>Proforma!AV4</f>
        <v>43</v>
      </c>
      <c r="AA53" s="31">
        <f>Proforma!AV5</f>
        <v>47695</v>
      </c>
      <c r="AB53" s="30">
        <f>Proforma!AV9</f>
        <v>2</v>
      </c>
      <c r="AC53" s="30">
        <f>Proforma!AV10</f>
        <v>74</v>
      </c>
      <c r="AD53" s="16">
        <f>Proforma!AV17</f>
        <v>815794.861785169</v>
      </c>
      <c r="AE53" s="33"/>
      <c r="AF53" s="30">
        <f>AB53</f>
        <v>2</v>
      </c>
      <c r="AG53" s="32">
        <v>2</v>
      </c>
      <c r="AH53" s="32">
        <v>2</v>
      </c>
      <c r="AI53" s="33"/>
      <c r="AJ53" s="35">
        <f t="shared" si="2"/>
        <v>48947.6917071102</v>
      </c>
      <c r="AK53" s="35">
        <f t="shared" si="5"/>
        <v>766847.170078059</v>
      </c>
    </row>
    <row r="54" spans="2:37">
      <c r="G54" s="334"/>
      <c r="M54" s="47"/>
      <c r="U54" s="47"/>
      <c r="V54" s="48">
        <f>+'Lot Pricing'!A49</f>
        <v>46</v>
      </c>
      <c r="W54" s="48" t="str">
        <f>+'Lot Pricing'!B49</f>
        <v>Lake Cottages</v>
      </c>
      <c r="X54" s="47">
        <f>+'Lot Pricing'!C49*$AC$70</f>
        <v>450000</v>
      </c>
      <c r="Y54" s="39"/>
      <c r="Z54" s="30">
        <f>Proforma!AW4</f>
        <v>44</v>
      </c>
      <c r="AA54" s="31">
        <f>Proforma!AW5</f>
        <v>47726</v>
      </c>
      <c r="AB54" s="30">
        <f>Proforma!AW9</f>
        <v>2</v>
      </c>
      <c r="AC54" s="30">
        <f>Proforma!AW10</f>
        <v>76</v>
      </c>
      <c r="AD54" s="16">
        <f>Proforma!AW17</f>
        <v>815794.861785169</v>
      </c>
      <c r="AE54" s="33"/>
      <c r="AF54" s="30">
        <f>AB54</f>
        <v>2</v>
      </c>
      <c r="AG54" s="32">
        <v>3</v>
      </c>
      <c r="AH54" s="32">
        <v>3</v>
      </c>
      <c r="AI54" s="33"/>
      <c r="AJ54" s="35">
        <f t="shared" si="2"/>
        <v>48947.6917071102</v>
      </c>
      <c r="AK54" s="35">
        <f t="shared" si="5"/>
        <v>766847.170078059</v>
      </c>
    </row>
    <row r="55" spans="2:37">
      <c r="G55" s="334"/>
      <c r="M55" s="50"/>
      <c r="U55" s="50"/>
      <c r="V55" s="48">
        <f>+'Lot Pricing'!A50</f>
        <v>47</v>
      </c>
      <c r="W55" s="48" t="str">
        <f>+'Lot Pricing'!B50</f>
        <v>Lake Cottages</v>
      </c>
      <c r="X55" s="47">
        <f>+'Lot Pricing'!C50*$AC$70</f>
        <v>450000</v>
      </c>
      <c r="Y55" s="39"/>
      <c r="Z55" s="30">
        <f>Proforma!AX4</f>
        <v>45</v>
      </c>
      <c r="AA55" s="31">
        <f>Proforma!AX5</f>
        <v>47756</v>
      </c>
      <c r="AB55" s="30">
        <f>Proforma!AX9</f>
        <v>2</v>
      </c>
      <c r="AC55" s="30">
        <f>Proforma!AX10</f>
        <v>78</v>
      </c>
      <c r="AD55" s="16">
        <f>Proforma!AX17</f>
        <v>815794.861785169</v>
      </c>
      <c r="AE55" s="33"/>
      <c r="AF55" s="30">
        <f>AB55</f>
        <v>2</v>
      </c>
      <c r="AG55" s="32">
        <v>0</v>
      </c>
      <c r="AH55" s="32">
        <v>0</v>
      </c>
      <c r="AI55" s="33"/>
      <c r="AJ55" s="35">
        <f t="shared" si="2"/>
        <v>48947.6917071102</v>
      </c>
      <c r="AK55" s="35">
        <f t="shared" si="5"/>
        <v>766847.170078059</v>
      </c>
    </row>
    <row r="56" spans="2:37">
      <c r="M56" s="43"/>
      <c r="U56" s="43"/>
      <c r="V56" s="48">
        <f>+'Lot Pricing'!A51</f>
        <v>48</v>
      </c>
      <c r="W56" s="48" t="str">
        <f>+'Lot Pricing'!B51</f>
        <v>Lake Cottages</v>
      </c>
      <c r="X56" s="47">
        <f>+'Lot Pricing'!C51*$AC$70</f>
        <v>450000</v>
      </c>
      <c r="Y56" s="39"/>
      <c r="Z56" s="30">
        <f>Proforma!AY4</f>
        <v>46</v>
      </c>
      <c r="AA56" s="31">
        <f>Proforma!AY5</f>
        <v>47787</v>
      </c>
      <c r="AB56" s="30">
        <f>Proforma!AY9</f>
        <v>2</v>
      </c>
      <c r="AC56" s="30">
        <f>Proforma!AY10</f>
        <v>80</v>
      </c>
      <c r="AD56" s="16">
        <f>Proforma!AY17</f>
        <v>815794.861785169</v>
      </c>
      <c r="AE56" s="33"/>
      <c r="AF56" s="30">
        <f>AB56</f>
        <v>2</v>
      </c>
      <c r="AG56" s="32">
        <v>0</v>
      </c>
      <c r="AH56" s="32">
        <v>0</v>
      </c>
      <c r="AI56" s="33"/>
      <c r="AJ56" s="35">
        <f>+AD56*$AK$6</f>
        <v>48947.6917071102</v>
      </c>
      <c r="AK56" s="35">
        <f>+AD56-AJ56</f>
        <v>766847.170078059</v>
      </c>
    </row>
    <row r="57" spans="2:37">
      <c r="H57" s="39"/>
      <c r="M57" s="43"/>
      <c r="U57" s="43"/>
      <c r="V57" s="48">
        <f>+'Lot Pricing'!A52</f>
        <v>49</v>
      </c>
      <c r="W57" s="48" t="str">
        <f>+'Lot Pricing'!B52</f>
        <v>Lake Cottages</v>
      </c>
      <c r="X57" s="47">
        <f>+'Lot Pricing'!C52*$AC$70</f>
        <v>450000</v>
      </c>
      <c r="Y57" s="39"/>
      <c r="Z57" s="30">
        <f>Proforma!AZ4</f>
        <v>47</v>
      </c>
      <c r="AA57" s="31">
        <f>Proforma!AZ5</f>
        <v>47817</v>
      </c>
      <c r="AB57" s="30">
        <f>Proforma!AZ9</f>
        <v>2</v>
      </c>
      <c r="AC57" s="30">
        <f>Proforma!AZ10</f>
        <v>82</v>
      </c>
      <c r="AD57" s="16">
        <f>Proforma!AZ17</f>
        <v>815794.861785169</v>
      </c>
      <c r="AE57" s="33"/>
      <c r="AF57" s="30">
        <f>AB57</f>
        <v>2</v>
      </c>
      <c r="AG57" s="32">
        <v>0</v>
      </c>
      <c r="AH57" s="32">
        <v>0</v>
      </c>
      <c r="AI57" s="33"/>
      <c r="AJ57" s="35">
        <f>+AD57*$AK$6</f>
        <v>48947.6917071102</v>
      </c>
      <c r="AK57" s="35">
        <f>+AD57-AJ57</f>
        <v>766847.170078059</v>
      </c>
    </row>
    <row r="58" spans="2:37">
      <c r="H58" s="39"/>
      <c r="V58" s="48">
        <f>+'Lot Pricing'!A53</f>
        <v>50</v>
      </c>
      <c r="W58" s="48" t="str">
        <f>+'Lot Pricing'!B53</f>
        <v>Lake Cottages</v>
      </c>
      <c r="X58" s="47">
        <f>+'Lot Pricing'!C53*$AC$70</f>
        <v>450000</v>
      </c>
      <c r="Y58" s="39"/>
      <c r="Z58" s="30">
        <f>Proforma!BA4</f>
        <v>48</v>
      </c>
      <c r="AA58" s="31">
        <f>Proforma!BA5</f>
        <v>47848</v>
      </c>
      <c r="AB58" s="30">
        <f>Proforma!BA9</f>
        <v>2</v>
      </c>
      <c r="AC58" s="30">
        <f>Proforma!BA10</f>
        <v>84</v>
      </c>
      <c r="AD58" s="16">
        <f>Proforma!BA17</f>
        <v>815794.861785169</v>
      </c>
      <c r="AE58" s="33"/>
      <c r="AF58" s="30">
        <f>AB58</f>
        <v>2</v>
      </c>
      <c r="AG58" s="32">
        <v>0</v>
      </c>
      <c r="AH58" s="32">
        <v>0</v>
      </c>
      <c r="AI58" s="33"/>
      <c r="AJ58" s="35">
        <f>+AD58*$AK$6</f>
        <v>48947.6917071102</v>
      </c>
      <c r="AK58" s="35">
        <f>+AD58-AJ58</f>
        <v>766847.170078059</v>
      </c>
    </row>
    <row r="59" spans="2:37">
      <c r="H59" s="39"/>
      <c r="V59" s="48">
        <f>+'Lot Pricing'!A54</f>
        <v>51</v>
      </c>
      <c r="W59" s="48" t="str">
        <f>+'Lot Pricing'!B54</f>
        <v>Lake Cottages</v>
      </c>
      <c r="X59" s="47">
        <f>+'Lot Pricing'!C54*$AC$70</f>
        <v>450000</v>
      </c>
      <c r="Y59" s="39"/>
      <c r="Z59" s="30">
        <f>Proforma!BB4</f>
        <v>49</v>
      </c>
      <c r="AA59" s="31">
        <f>Proforma!BB5</f>
        <v>47879</v>
      </c>
      <c r="AB59" s="30">
        <f>Proforma!BB9</f>
        <v>2</v>
      </c>
      <c r="AC59" s="30">
        <f>Proforma!BB10</f>
        <v>86</v>
      </c>
      <c r="AD59" s="16">
        <f>Proforma!BB17</f>
        <v>819194.007042608</v>
      </c>
      <c r="AE59" s="33"/>
      <c r="AF59" s="30">
        <f>AB59</f>
        <v>2</v>
      </c>
      <c r="AG59" s="32">
        <v>0</v>
      </c>
      <c r="AH59" s="32">
        <v>0</v>
      </c>
      <c r="AI59" s="33"/>
      <c r="AJ59" s="35">
        <f>+AD59*$AK$6</f>
        <v>49151.6404225565</v>
      </c>
      <c r="AK59" s="35">
        <f>+AD59-AJ59</f>
        <v>770042.366620051</v>
      </c>
    </row>
    <row r="60" spans="2:37">
      <c r="H60" s="39"/>
      <c r="M60" s="37"/>
      <c r="U60" s="37"/>
      <c r="V60" s="48">
        <f>+'Lot Pricing'!A55</f>
        <v>52</v>
      </c>
      <c r="W60" s="48" t="str">
        <f>+'Lot Pricing'!B55</f>
        <v>Lake Cottages</v>
      </c>
      <c r="X60" s="47">
        <f>+'Lot Pricing'!C55*$AC$70</f>
        <v>450000</v>
      </c>
      <c r="Y60" s="39"/>
      <c r="Z60" s="144">
        <f>Proforma!BC4</f>
        <v>50</v>
      </c>
      <c r="AA60" s="130">
        <f>Proforma!BC5</f>
        <v>47907</v>
      </c>
      <c r="AB60" s="144">
        <f>Proforma!BC9</f>
        <v>2</v>
      </c>
      <c r="AC60" s="144">
        <f>Proforma!BC10</f>
        <v>88</v>
      </c>
      <c r="AD60" s="145">
        <f>Proforma!BC17</f>
        <v>819194.007042608</v>
      </c>
      <c r="AE60" s="146"/>
      <c r="AF60" s="144">
        <f>AB60</f>
        <v>2</v>
      </c>
      <c r="AG60" s="147">
        <v>0</v>
      </c>
      <c r="AH60" s="147">
        <v>0</v>
      </c>
      <c r="AI60" s="146"/>
      <c r="AJ60" s="148">
        <f>+AD60*$AK$6</f>
        <v>49151.6404225565</v>
      </c>
      <c r="AK60" s="148">
        <f>+AD60-AJ60</f>
        <v>770042.366620051</v>
      </c>
    </row>
    <row r="61" spans="2:37">
      <c r="B61" s="13"/>
      <c r="H61" s="39"/>
      <c r="M61" s="37"/>
      <c r="U61" s="37"/>
      <c r="V61" s="48">
        <f>+'Lot Pricing'!A56</f>
        <v>53</v>
      </c>
      <c r="W61" s="48" t="str">
        <f>+'Lot Pricing'!B56</f>
        <v>Dune Homes</v>
      </c>
      <c r="X61" s="47">
        <f>+'Lot Pricing'!C56*$AC$70</f>
        <v>400000</v>
      </c>
      <c r="Y61" s="39"/>
      <c r="Z61" s="21" t="s">
        <v>10</v>
      </c>
      <c r="AA61" s="19"/>
      <c r="AB61" s="52">
        <f>SUM(AB11:AB60)</f>
        <v>88</v>
      </c>
      <c r="AC61" s="52">
        <f>AC60</f>
        <v>88</v>
      </c>
      <c r="AD61" s="53">
        <f>SUM(AD11:AD60)</f>
        <v>35800220.9814542</v>
      </c>
      <c r="AE61" s="53"/>
      <c r="AF61" s="52">
        <f>SUM(AF11:AF60)</f>
        <v>88</v>
      </c>
      <c r="AG61" s="52">
        <f>SUM(AG11:AG60)</f>
        <v>60</v>
      </c>
      <c r="AH61" s="52">
        <f>SUM(AH11:AH60)</f>
        <v>60</v>
      </c>
      <c r="AI61" s="53"/>
      <c r="AJ61" s="53">
        <f>SUM(AJ11:AJ60)</f>
        <v>2050320.97792825</v>
      </c>
      <c r="AK61" s="53">
        <f>SUM(AK11:AK60)</f>
        <v>32121695.3208759</v>
      </c>
    </row>
    <row r="62" spans="2:37" ht="13.5" thickBot="1">
      <c r="F62" s="16"/>
      <c r="G62" s="334"/>
      <c r="H62" s="39"/>
      <c r="M62" s="33"/>
      <c r="U62" s="33"/>
      <c r="V62" s="48">
        <f>+'Lot Pricing'!A57</f>
        <v>54</v>
      </c>
      <c r="W62" s="48" t="str">
        <f>+'Lot Pricing'!B57</f>
        <v>Dune Homes</v>
      </c>
      <c r="X62" s="47">
        <f>+'Lot Pricing'!C57*$AC$70</f>
        <v>400000</v>
      </c>
      <c r="Y62" s="39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</row>
    <row r="63" spans="2:37">
      <c r="G63" s="336"/>
      <c r="H63" s="39"/>
      <c r="M63" s="14"/>
      <c r="U63" s="14"/>
      <c r="V63" s="48">
        <f>+'Lot Pricing'!A58</f>
        <v>55</v>
      </c>
      <c r="W63" s="48" t="str">
        <f>+'Lot Pricing'!B58</f>
        <v>Dune Homes</v>
      </c>
      <c r="X63" s="47">
        <f>+'Lot Pricing'!C58*$AC$70</f>
        <v>400000</v>
      </c>
      <c r="Y63" s="39"/>
      <c r="Z63" s="30"/>
      <c r="AA63" s="31"/>
      <c r="AB63" s="30"/>
      <c r="AC63" s="30"/>
      <c r="AD63" s="16"/>
      <c r="AE63" s="33"/>
      <c r="AF63" s="30"/>
      <c r="AG63" s="32"/>
      <c r="AH63" s="32"/>
      <c r="AI63" s="33"/>
      <c r="AJ63" s="35"/>
      <c r="AK63" s="35"/>
    </row>
    <row r="64" spans="2:37" ht="13.5" thickBot="1">
      <c r="H64" s="39"/>
      <c r="M64" s="33"/>
      <c r="U64" s="33"/>
      <c r="V64" s="48">
        <f>+'Lot Pricing'!A59</f>
        <v>56</v>
      </c>
      <c r="W64" s="48" t="str">
        <f>+'Lot Pricing'!B59</f>
        <v>Dune Homes</v>
      </c>
      <c r="X64" s="47">
        <f>+'Lot Pricing'!C59*$AC$70</f>
        <v>400000</v>
      </c>
      <c r="Y64" s="39"/>
      <c r="Z64" s="220" t="s">
        <v>159</v>
      </c>
      <c r="AA64" s="31"/>
      <c r="AB64" s="30"/>
      <c r="AC64" s="30"/>
      <c r="AD64" s="16"/>
      <c r="AE64" s="33"/>
      <c r="AF64" s="30"/>
      <c r="AG64" s="32"/>
      <c r="AH64" s="32"/>
      <c r="AI64" s="33"/>
      <c r="AJ64" s="35"/>
      <c r="AK64" s="35"/>
    </row>
    <row r="65" spans="2:37">
      <c r="B65" s="13"/>
      <c r="H65" s="39"/>
      <c r="M65" s="33"/>
      <c r="U65" s="33"/>
      <c r="V65" s="48">
        <f>+'Lot Pricing'!A60</f>
        <v>57</v>
      </c>
      <c r="W65" s="48" t="str">
        <f>+'Lot Pricing'!B60</f>
        <v>Dune Homes</v>
      </c>
      <c r="X65" s="47">
        <f>+'Lot Pricing'!C60*$AC$70</f>
        <v>400000</v>
      </c>
      <c r="Y65" s="39"/>
      <c r="Z65" s="204" t="s">
        <v>40</v>
      </c>
      <c r="AA65" s="205"/>
      <c r="AB65" s="114"/>
      <c r="AC65" s="206">
        <f>K25</f>
        <v>35800220.9814542</v>
      </c>
      <c r="AD65" s="16"/>
      <c r="AE65" s="33"/>
      <c r="AF65" s="30"/>
      <c r="AG65" s="32"/>
      <c r="AH65" s="32"/>
      <c r="AI65" s="33"/>
      <c r="AJ65" s="35"/>
      <c r="AK65" s="35"/>
    </row>
    <row r="66" spans="2:37">
      <c r="G66" s="334"/>
      <c r="H66" s="39"/>
      <c r="M66" s="33"/>
      <c r="U66" s="33"/>
      <c r="V66" s="48">
        <f>+'Lot Pricing'!A61</f>
        <v>58</v>
      </c>
      <c r="W66" s="48" t="str">
        <f>+'Lot Pricing'!B61</f>
        <v>Dune Homes</v>
      </c>
      <c r="X66" s="47">
        <f>+'Lot Pricing'!C61*$AC$70</f>
        <v>400000</v>
      </c>
      <c r="Y66" s="39"/>
      <c r="Z66" s="207" t="s">
        <v>35</v>
      </c>
      <c r="AA66" s="115"/>
      <c r="AB66" s="115"/>
      <c r="AC66" s="208">
        <f>AC65/$G$9</f>
        <v>406820.692971071</v>
      </c>
      <c r="AD66" s="16"/>
      <c r="AE66" s="33"/>
      <c r="AF66" s="30"/>
      <c r="AG66" s="32"/>
      <c r="AH66" s="32"/>
      <c r="AI66" s="33"/>
      <c r="AJ66" s="35"/>
      <c r="AK66" s="35"/>
    </row>
    <row r="67" spans="2:37">
      <c r="G67" s="335"/>
      <c r="H67" s="39"/>
      <c r="V67" s="48">
        <f>+'Lot Pricing'!A62</f>
        <v>59</v>
      </c>
      <c r="W67" s="48" t="str">
        <f>+'Lot Pricing'!B62</f>
        <v>Dune Homes</v>
      </c>
      <c r="X67" s="47">
        <f>+'Lot Pricing'!C62*$AC$70</f>
        <v>400000</v>
      </c>
      <c r="Y67" s="39"/>
      <c r="Z67" s="209"/>
      <c r="AA67" s="115"/>
      <c r="AB67" s="115"/>
      <c r="AC67" s="210"/>
      <c r="AD67" s="16"/>
      <c r="AE67" s="33"/>
      <c r="AF67" s="30"/>
      <c r="AG67" s="32"/>
      <c r="AH67" s="32"/>
      <c r="AI67" s="33"/>
      <c r="AJ67" s="35"/>
      <c r="AK67" s="35"/>
    </row>
    <row r="68" spans="2:37">
      <c r="H68" s="39"/>
      <c r="V68" s="48">
        <f>+'Lot Pricing'!A63</f>
        <v>60</v>
      </c>
      <c r="W68" s="48" t="str">
        <f>+'Lot Pricing'!B63</f>
        <v>Dune Homes</v>
      </c>
      <c r="X68" s="47">
        <f>+'Lot Pricing'!C63*$AC$70</f>
        <v>400000</v>
      </c>
      <c r="Y68" s="39"/>
      <c r="Z68" s="211" t="s">
        <v>53</v>
      </c>
      <c r="AA68" s="115"/>
      <c r="AB68" s="115"/>
      <c r="AC68" s="210"/>
      <c r="AD68" s="16"/>
      <c r="AE68" s="33"/>
      <c r="AF68" s="30"/>
      <c r="AG68" s="32"/>
      <c r="AH68" s="32"/>
      <c r="AI68" s="33"/>
      <c r="AJ68" s="35"/>
      <c r="AK68" s="35"/>
    </row>
    <row r="69" spans="2:37">
      <c r="Z69" s="209" t="s">
        <v>45</v>
      </c>
      <c r="AA69" s="115"/>
      <c r="AB69" s="115"/>
      <c r="AC69" s="212">
        <v>1</v>
      </c>
    </row>
    <row r="70" spans="2:37">
      <c r="Z70" s="209" t="s">
        <v>54</v>
      </c>
      <c r="AA70" s="115"/>
      <c r="AB70" s="115"/>
      <c r="AC70" s="213">
        <f>INDEX($AC$73:$AC$75,MATCH(AC69,$Z$73:$Z$75,0))</f>
        <v>1</v>
      </c>
    </row>
    <row r="71" spans="2:37">
      <c r="Z71" s="214"/>
      <c r="AA71" s="142"/>
      <c r="AB71" s="142"/>
      <c r="AC71" s="215"/>
    </row>
    <row r="72" spans="2:37">
      <c r="Z72" s="209"/>
      <c r="AA72" s="115"/>
      <c r="AB72" s="115"/>
      <c r="AC72" s="210"/>
    </row>
    <row r="73" spans="2:37">
      <c r="Z73" s="216">
        <v>1</v>
      </c>
      <c r="AA73" s="115"/>
      <c r="AB73" s="115"/>
      <c r="AC73" s="217">
        <v>1</v>
      </c>
    </row>
    <row r="74" spans="2:37">
      <c r="Z74" s="216">
        <f>+Z73+1</f>
        <v>2</v>
      </c>
      <c r="AA74" s="115"/>
      <c r="AB74" s="115"/>
      <c r="AC74" s="217">
        <v>0.875</v>
      </c>
    </row>
    <row r="75" spans="2:37">
      <c r="Z75" s="216">
        <f>+Z74+1</f>
        <v>3</v>
      </c>
      <c r="AA75" s="115"/>
      <c r="AB75" s="115"/>
      <c r="AC75" s="217">
        <v>0.75</v>
      </c>
    </row>
    <row r="76" spans="2:37" ht="13.5" thickBot="1">
      <c r="Z76" s="218"/>
      <c r="AA76" s="143"/>
      <c r="AB76" s="143"/>
      <c r="AC76" s="219"/>
    </row>
  </sheetData>
  <mergeCells count="1">
    <mergeCell ref="P32:Q32"/>
  </mergeCells>
  <printOptions horizontalCentered="1"/>
  <pageMargins left="0.25" right="0.25" top="0.75" bottom="0.75" header="0.3" footer="0.3"/>
  <pageSetup scale="68" orientation="landscape" r:id="rId1"/>
  <headerFooter alignWithMargins="0">
    <oddHeader>&amp;L&amp;G</oddHeader>
    <oddFooter>&amp;LConfidential&amp;RPage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107"/>
  <sheetViews>
    <sheetView showGridLines="0" view="pageBreakPreview" zoomScale="80" zoomScaleNormal="100" zoomScaleSheetLayoutView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46" sqref="F46"/>
    </sheetView>
  </sheetViews>
  <sheetFormatPr defaultColWidth="9.1796875" defaultRowHeight="13" outlineLevelCol="1"/>
  <cols>
    <col min="1" max="1" width="32.26953125" style="1" customWidth="1"/>
    <col min="2" max="2" width="19" style="1" customWidth="1"/>
    <col min="3" max="3" width="13.1796875" style="1" bestFit="1" customWidth="1"/>
    <col min="4" max="4" width="2.453125" style="1" customWidth="1"/>
    <col min="5" max="5" width="15" style="1" customWidth="1"/>
    <col min="6" max="6" width="17.453125" style="1" customWidth="1"/>
    <col min="7" max="7" width="16.1796875" style="1" bestFit="1" customWidth="1"/>
    <col min="8" max="11" width="14.1796875" style="1" bestFit="1" customWidth="1"/>
    <col min="12" max="12" width="15.1796875" style="1" bestFit="1" customWidth="1"/>
    <col min="13" max="17" width="14" style="1" bestFit="1" customWidth="1"/>
    <col min="18" max="18" width="16.54296875" style="1" customWidth="1"/>
    <col min="19" max="23" width="14.54296875" style="1" bestFit="1" customWidth="1"/>
    <col min="24" max="35" width="15" style="1" bestFit="1" customWidth="1"/>
    <col min="36" max="41" width="15.1796875" style="1" bestFit="1" customWidth="1"/>
    <col min="42" max="55" width="15" style="1" customWidth="1" outlineLevel="1"/>
    <col min="56" max="56" width="14" style="1" customWidth="1"/>
    <col min="57" max="57" width="11.81640625" style="1" bestFit="1" customWidth="1"/>
    <col min="58" max="58" width="9.1796875" style="1"/>
    <col min="59" max="59" width="11" style="1" bestFit="1" customWidth="1"/>
    <col min="60" max="60" width="14.54296875" style="1" customWidth="1"/>
    <col min="61" max="61" width="15.81640625" style="1" bestFit="1" customWidth="1"/>
    <col min="62" max="62" width="14.81640625" style="1" bestFit="1" customWidth="1"/>
    <col min="63" max="63" width="14.26953125" style="1" bestFit="1" customWidth="1"/>
    <col min="64" max="64" width="14.26953125" style="1" customWidth="1"/>
    <col min="65" max="65" width="15.26953125" style="1" bestFit="1" customWidth="1"/>
    <col min="66" max="16384" width="9.1796875" style="1"/>
  </cols>
  <sheetData>
    <row r="1" spans="1:65">
      <c r="A1" s="2" t="s">
        <v>55</v>
      </c>
    </row>
    <row r="2" spans="1:65">
      <c r="C2" s="23" t="s">
        <v>187</v>
      </c>
      <c r="E2" s="225" t="s">
        <v>84</v>
      </c>
      <c r="F2" s="225" t="s">
        <v>84</v>
      </c>
      <c r="G2" s="225" t="s">
        <v>84</v>
      </c>
      <c r="H2" s="225" t="s">
        <v>84</v>
      </c>
      <c r="I2" s="225" t="s">
        <v>84</v>
      </c>
      <c r="J2" s="225" t="s">
        <v>84</v>
      </c>
      <c r="K2" s="225" t="s">
        <v>84</v>
      </c>
      <c r="L2" s="225" t="s">
        <v>84</v>
      </c>
      <c r="M2" s="225" t="s">
        <v>84</v>
      </c>
      <c r="N2" s="225" t="s">
        <v>84</v>
      </c>
      <c r="O2" s="225" t="s">
        <v>84</v>
      </c>
      <c r="P2" s="225" t="s">
        <v>84</v>
      </c>
      <c r="Q2" s="225" t="s">
        <v>84</v>
      </c>
      <c r="R2" s="226" t="s">
        <v>188</v>
      </c>
      <c r="S2" s="226" t="s">
        <v>188</v>
      </c>
      <c r="T2" s="226" t="s">
        <v>188</v>
      </c>
      <c r="U2" s="226" t="s">
        <v>188</v>
      </c>
      <c r="V2" s="226" t="s">
        <v>188</v>
      </c>
      <c r="W2" s="226" t="s">
        <v>188</v>
      </c>
      <c r="X2" s="226" t="s">
        <v>188</v>
      </c>
      <c r="Y2" s="226" t="s">
        <v>188</v>
      </c>
      <c r="Z2" s="226" t="s">
        <v>188</v>
      </c>
      <c r="AA2" s="226" t="s">
        <v>188</v>
      </c>
      <c r="AB2" s="226" t="s">
        <v>188</v>
      </c>
      <c r="AC2" s="226" t="s">
        <v>188</v>
      </c>
      <c r="AD2" s="227" t="s">
        <v>36</v>
      </c>
      <c r="AE2" s="227" t="s">
        <v>36</v>
      </c>
      <c r="AF2" s="227" t="s">
        <v>36</v>
      </c>
      <c r="AG2" s="227" t="s">
        <v>36</v>
      </c>
      <c r="AH2" s="227" t="s">
        <v>36</v>
      </c>
      <c r="AI2" s="227" t="s">
        <v>36</v>
      </c>
      <c r="AJ2" s="227" t="s">
        <v>36</v>
      </c>
      <c r="AK2" s="227" t="s">
        <v>36</v>
      </c>
      <c r="AL2" s="227" t="s">
        <v>36</v>
      </c>
      <c r="AM2" s="227" t="s">
        <v>36</v>
      </c>
      <c r="AN2" s="227" t="s">
        <v>36</v>
      </c>
      <c r="AO2" s="227" t="s">
        <v>36</v>
      </c>
      <c r="AP2" s="227" t="s">
        <v>36</v>
      </c>
      <c r="AQ2" s="227" t="s">
        <v>36</v>
      </c>
      <c r="AR2" s="227" t="s">
        <v>36</v>
      </c>
      <c r="AS2" s="227" t="s">
        <v>36</v>
      </c>
      <c r="AT2" s="227" t="s">
        <v>36</v>
      </c>
      <c r="AU2" s="227" t="s">
        <v>36</v>
      </c>
      <c r="AV2" s="227" t="s">
        <v>36</v>
      </c>
      <c r="AW2" s="227" t="s">
        <v>36</v>
      </c>
      <c r="AX2" s="227" t="s">
        <v>36</v>
      </c>
      <c r="AY2" s="227" t="s">
        <v>36</v>
      </c>
      <c r="AZ2" s="227" t="s">
        <v>36</v>
      </c>
      <c r="BA2" s="227" t="s">
        <v>36</v>
      </c>
      <c r="BB2" s="227" t="s">
        <v>36</v>
      </c>
      <c r="BC2" s="227" t="s">
        <v>36</v>
      </c>
    </row>
    <row r="3" spans="1:65">
      <c r="C3" s="23" t="s">
        <v>28</v>
      </c>
      <c r="E3" s="350">
        <f>ROUNDUP(E4/12,0)</f>
        <v>0</v>
      </c>
      <c r="F3" s="350">
        <f>ROUNDUP(F4/12,0)</f>
        <v>1</v>
      </c>
      <c r="G3" s="350">
        <f t="shared" ref="G3:BC3" si="0">ROUNDUP(G4/12,0)</f>
        <v>1</v>
      </c>
      <c r="H3" s="350">
        <f t="shared" si="0"/>
        <v>1</v>
      </c>
      <c r="I3" s="350">
        <f t="shared" si="0"/>
        <v>1</v>
      </c>
      <c r="J3" s="350">
        <f t="shared" si="0"/>
        <v>1</v>
      </c>
      <c r="K3" s="350">
        <f t="shared" si="0"/>
        <v>1</v>
      </c>
      <c r="L3" s="350">
        <f t="shared" si="0"/>
        <v>1</v>
      </c>
      <c r="M3" s="350">
        <f t="shared" si="0"/>
        <v>1</v>
      </c>
      <c r="N3" s="350">
        <f t="shared" si="0"/>
        <v>1</v>
      </c>
      <c r="O3" s="350">
        <f t="shared" si="0"/>
        <v>1</v>
      </c>
      <c r="P3" s="350">
        <f t="shared" si="0"/>
        <v>1</v>
      </c>
      <c r="Q3" s="350">
        <f t="shared" si="0"/>
        <v>1</v>
      </c>
      <c r="R3" s="350">
        <f t="shared" si="0"/>
        <v>2</v>
      </c>
      <c r="S3" s="350">
        <f t="shared" si="0"/>
        <v>2</v>
      </c>
      <c r="T3" s="350">
        <f t="shared" si="0"/>
        <v>2</v>
      </c>
      <c r="U3" s="350">
        <f t="shared" si="0"/>
        <v>2</v>
      </c>
      <c r="V3" s="350">
        <f t="shared" si="0"/>
        <v>2</v>
      </c>
      <c r="W3" s="350">
        <f t="shared" si="0"/>
        <v>2</v>
      </c>
      <c r="X3" s="350">
        <f t="shared" si="0"/>
        <v>2</v>
      </c>
      <c r="Y3" s="350">
        <f t="shared" si="0"/>
        <v>2</v>
      </c>
      <c r="Z3" s="350">
        <f t="shared" si="0"/>
        <v>2</v>
      </c>
      <c r="AA3" s="350">
        <f t="shared" si="0"/>
        <v>2</v>
      </c>
      <c r="AB3" s="350">
        <f t="shared" si="0"/>
        <v>2</v>
      </c>
      <c r="AC3" s="350">
        <f t="shared" si="0"/>
        <v>2</v>
      </c>
      <c r="AD3" s="350">
        <f t="shared" si="0"/>
        <v>3</v>
      </c>
      <c r="AE3" s="350">
        <f t="shared" si="0"/>
        <v>3</v>
      </c>
      <c r="AF3" s="350">
        <f t="shared" si="0"/>
        <v>3</v>
      </c>
      <c r="AG3" s="350">
        <f t="shared" si="0"/>
        <v>3</v>
      </c>
      <c r="AH3" s="350">
        <f t="shared" si="0"/>
        <v>3</v>
      </c>
      <c r="AI3" s="350">
        <f t="shared" si="0"/>
        <v>3</v>
      </c>
      <c r="AJ3" s="350">
        <f t="shared" si="0"/>
        <v>3</v>
      </c>
      <c r="AK3" s="350">
        <f t="shared" si="0"/>
        <v>3</v>
      </c>
      <c r="AL3" s="350">
        <f t="shared" si="0"/>
        <v>3</v>
      </c>
      <c r="AM3" s="350">
        <f t="shared" si="0"/>
        <v>3</v>
      </c>
      <c r="AN3" s="350">
        <f t="shared" si="0"/>
        <v>3</v>
      </c>
      <c r="AO3" s="350">
        <f t="shared" si="0"/>
        <v>3</v>
      </c>
      <c r="AP3" s="350">
        <f t="shared" si="0"/>
        <v>4</v>
      </c>
      <c r="AQ3" s="350">
        <f t="shared" si="0"/>
        <v>4</v>
      </c>
      <c r="AR3" s="350">
        <f t="shared" si="0"/>
        <v>4</v>
      </c>
      <c r="AS3" s="350">
        <f t="shared" si="0"/>
        <v>4</v>
      </c>
      <c r="AT3" s="350">
        <f t="shared" si="0"/>
        <v>4</v>
      </c>
      <c r="AU3" s="350">
        <f t="shared" si="0"/>
        <v>4</v>
      </c>
      <c r="AV3" s="350">
        <f t="shared" si="0"/>
        <v>4</v>
      </c>
      <c r="AW3" s="350">
        <f t="shared" si="0"/>
        <v>4</v>
      </c>
      <c r="AX3" s="350">
        <f t="shared" si="0"/>
        <v>4</v>
      </c>
      <c r="AY3" s="350">
        <f t="shared" si="0"/>
        <v>4</v>
      </c>
      <c r="AZ3" s="350">
        <f t="shared" si="0"/>
        <v>4</v>
      </c>
      <c r="BA3" s="350">
        <f t="shared" si="0"/>
        <v>4</v>
      </c>
      <c r="BB3" s="350">
        <f t="shared" si="0"/>
        <v>5</v>
      </c>
      <c r="BC3" s="350">
        <f t="shared" si="0"/>
        <v>5</v>
      </c>
    </row>
    <row r="4" spans="1:65">
      <c r="A4" s="115"/>
      <c r="B4" s="115"/>
      <c r="C4" s="23" t="s">
        <v>20</v>
      </c>
      <c r="E4" s="350">
        <v>0</v>
      </c>
      <c r="F4" s="350">
        <v>1</v>
      </c>
      <c r="G4" s="350">
        <v>2</v>
      </c>
      <c r="H4" s="350">
        <v>3</v>
      </c>
      <c r="I4" s="350">
        <v>4</v>
      </c>
      <c r="J4" s="350">
        <v>5</v>
      </c>
      <c r="K4" s="350">
        <v>6</v>
      </c>
      <c r="L4" s="350">
        <v>7</v>
      </c>
      <c r="M4" s="350">
        <v>8</v>
      </c>
      <c r="N4" s="350">
        <v>9</v>
      </c>
      <c r="O4" s="350">
        <v>10</v>
      </c>
      <c r="P4" s="350">
        <v>11</v>
      </c>
      <c r="Q4" s="350">
        <v>12</v>
      </c>
      <c r="R4" s="350">
        <f t="shared" ref="R4:BC4" si="1">+Q4+1</f>
        <v>13</v>
      </c>
      <c r="S4" s="350">
        <f t="shared" si="1"/>
        <v>14</v>
      </c>
      <c r="T4" s="350">
        <f t="shared" si="1"/>
        <v>15</v>
      </c>
      <c r="U4" s="350">
        <f t="shared" si="1"/>
        <v>16</v>
      </c>
      <c r="V4" s="350">
        <f t="shared" si="1"/>
        <v>17</v>
      </c>
      <c r="W4" s="350">
        <f t="shared" si="1"/>
        <v>18</v>
      </c>
      <c r="X4" s="350">
        <f t="shared" si="1"/>
        <v>19</v>
      </c>
      <c r="Y4" s="350">
        <f t="shared" si="1"/>
        <v>20</v>
      </c>
      <c r="Z4" s="350">
        <f t="shared" si="1"/>
        <v>21</v>
      </c>
      <c r="AA4" s="350">
        <f t="shared" si="1"/>
        <v>22</v>
      </c>
      <c r="AB4" s="350">
        <f t="shared" si="1"/>
        <v>23</v>
      </c>
      <c r="AC4" s="350">
        <f t="shared" si="1"/>
        <v>24</v>
      </c>
      <c r="AD4" s="350">
        <f t="shared" si="1"/>
        <v>25</v>
      </c>
      <c r="AE4" s="350">
        <f t="shared" si="1"/>
        <v>26</v>
      </c>
      <c r="AF4" s="350">
        <f t="shared" si="1"/>
        <v>27</v>
      </c>
      <c r="AG4" s="350">
        <f t="shared" si="1"/>
        <v>28</v>
      </c>
      <c r="AH4" s="350">
        <f t="shared" si="1"/>
        <v>29</v>
      </c>
      <c r="AI4" s="350">
        <f t="shared" si="1"/>
        <v>30</v>
      </c>
      <c r="AJ4" s="350">
        <f t="shared" si="1"/>
        <v>31</v>
      </c>
      <c r="AK4" s="350">
        <f t="shared" si="1"/>
        <v>32</v>
      </c>
      <c r="AL4" s="350">
        <f t="shared" si="1"/>
        <v>33</v>
      </c>
      <c r="AM4" s="350">
        <f t="shared" si="1"/>
        <v>34</v>
      </c>
      <c r="AN4" s="350">
        <f t="shared" si="1"/>
        <v>35</v>
      </c>
      <c r="AO4" s="350">
        <f t="shared" si="1"/>
        <v>36</v>
      </c>
      <c r="AP4" s="350">
        <f t="shared" si="1"/>
        <v>37</v>
      </c>
      <c r="AQ4" s="350">
        <f t="shared" si="1"/>
        <v>38</v>
      </c>
      <c r="AR4" s="350">
        <f t="shared" si="1"/>
        <v>39</v>
      </c>
      <c r="AS4" s="350">
        <f t="shared" si="1"/>
        <v>40</v>
      </c>
      <c r="AT4" s="350">
        <f t="shared" si="1"/>
        <v>41</v>
      </c>
      <c r="AU4" s="350">
        <f t="shared" si="1"/>
        <v>42</v>
      </c>
      <c r="AV4" s="350">
        <f t="shared" si="1"/>
        <v>43</v>
      </c>
      <c r="AW4" s="350">
        <f t="shared" si="1"/>
        <v>44</v>
      </c>
      <c r="AX4" s="350">
        <f t="shared" si="1"/>
        <v>45</v>
      </c>
      <c r="AY4" s="350">
        <f>+AX4+1</f>
        <v>46</v>
      </c>
      <c r="AZ4" s="350">
        <f t="shared" ref="AZ4" si="2">+AY4+1</f>
        <v>47</v>
      </c>
      <c r="BA4" s="350">
        <f t="shared" ref="BA4" si="3">+AZ4+1</f>
        <v>48</v>
      </c>
      <c r="BB4" s="350">
        <f>+BA4+1</f>
        <v>49</v>
      </c>
      <c r="BC4" s="350">
        <f t="shared" si="1"/>
        <v>50</v>
      </c>
      <c r="BD4" s="12" t="s">
        <v>10</v>
      </c>
      <c r="BF4" s="1" t="s">
        <v>11</v>
      </c>
      <c r="BG4" s="26">
        <v>0</v>
      </c>
      <c r="BH4" s="26">
        <v>1</v>
      </c>
      <c r="BI4" s="26">
        <v>2</v>
      </c>
      <c r="BJ4" s="26">
        <v>3</v>
      </c>
      <c r="BK4" s="26">
        <v>4</v>
      </c>
      <c r="BL4" s="26">
        <v>5</v>
      </c>
      <c r="BM4" s="26" t="s">
        <v>10</v>
      </c>
    </row>
    <row r="5" spans="1:65">
      <c r="C5" s="23" t="s">
        <v>29</v>
      </c>
      <c r="E5" s="351">
        <f>SUMMARY!G6</f>
        <v>46388</v>
      </c>
      <c r="F5" s="351">
        <f>EOMONTH(E5,0)</f>
        <v>46418</v>
      </c>
      <c r="G5" s="351">
        <f>EOMONTH(F5,1)</f>
        <v>46446</v>
      </c>
      <c r="H5" s="351">
        <f t="shared" ref="H5:BC5" si="4">EOMONTH(G5,1)</f>
        <v>46477</v>
      </c>
      <c r="I5" s="351">
        <f t="shared" si="4"/>
        <v>46507</v>
      </c>
      <c r="J5" s="351">
        <f t="shared" si="4"/>
        <v>46538</v>
      </c>
      <c r="K5" s="351">
        <f t="shared" si="4"/>
        <v>46568</v>
      </c>
      <c r="L5" s="351">
        <f t="shared" si="4"/>
        <v>46599</v>
      </c>
      <c r="M5" s="351">
        <f t="shared" si="4"/>
        <v>46630</v>
      </c>
      <c r="N5" s="351">
        <f t="shared" si="4"/>
        <v>46660</v>
      </c>
      <c r="O5" s="351">
        <f t="shared" si="4"/>
        <v>46691</v>
      </c>
      <c r="P5" s="351">
        <f t="shared" si="4"/>
        <v>46721</v>
      </c>
      <c r="Q5" s="351">
        <f t="shared" si="4"/>
        <v>46752</v>
      </c>
      <c r="R5" s="351">
        <f t="shared" si="4"/>
        <v>46783</v>
      </c>
      <c r="S5" s="351">
        <f t="shared" si="4"/>
        <v>46812</v>
      </c>
      <c r="T5" s="351">
        <f t="shared" si="4"/>
        <v>46843</v>
      </c>
      <c r="U5" s="351">
        <f t="shared" si="4"/>
        <v>46873</v>
      </c>
      <c r="V5" s="351">
        <f t="shared" si="4"/>
        <v>46904</v>
      </c>
      <c r="W5" s="351">
        <f t="shared" si="4"/>
        <v>46934</v>
      </c>
      <c r="X5" s="351">
        <f t="shared" si="4"/>
        <v>46965</v>
      </c>
      <c r="Y5" s="351">
        <f t="shared" si="4"/>
        <v>46996</v>
      </c>
      <c r="Z5" s="351">
        <f t="shared" si="4"/>
        <v>47026</v>
      </c>
      <c r="AA5" s="351">
        <f t="shared" si="4"/>
        <v>47057</v>
      </c>
      <c r="AB5" s="351">
        <f t="shared" si="4"/>
        <v>47087</v>
      </c>
      <c r="AC5" s="351">
        <f t="shared" si="4"/>
        <v>47118</v>
      </c>
      <c r="AD5" s="351">
        <f t="shared" si="4"/>
        <v>47149</v>
      </c>
      <c r="AE5" s="351">
        <f t="shared" si="4"/>
        <v>47177</v>
      </c>
      <c r="AF5" s="351">
        <f t="shared" si="4"/>
        <v>47208</v>
      </c>
      <c r="AG5" s="351">
        <f t="shared" si="4"/>
        <v>47238</v>
      </c>
      <c r="AH5" s="351">
        <f t="shared" si="4"/>
        <v>47269</v>
      </c>
      <c r="AI5" s="351">
        <f t="shared" si="4"/>
        <v>47299</v>
      </c>
      <c r="AJ5" s="351">
        <f t="shared" si="4"/>
        <v>47330</v>
      </c>
      <c r="AK5" s="351">
        <f t="shared" si="4"/>
        <v>47361</v>
      </c>
      <c r="AL5" s="351">
        <f t="shared" si="4"/>
        <v>47391</v>
      </c>
      <c r="AM5" s="351">
        <f t="shared" si="4"/>
        <v>47422</v>
      </c>
      <c r="AN5" s="351">
        <f t="shared" si="4"/>
        <v>47452</v>
      </c>
      <c r="AO5" s="351">
        <f t="shared" si="4"/>
        <v>47483</v>
      </c>
      <c r="AP5" s="351">
        <f t="shared" si="4"/>
        <v>47514</v>
      </c>
      <c r="AQ5" s="351">
        <f t="shared" si="4"/>
        <v>47542</v>
      </c>
      <c r="AR5" s="351">
        <f t="shared" si="4"/>
        <v>47573</v>
      </c>
      <c r="AS5" s="351">
        <f t="shared" si="4"/>
        <v>47603</v>
      </c>
      <c r="AT5" s="351">
        <f t="shared" si="4"/>
        <v>47634</v>
      </c>
      <c r="AU5" s="351">
        <f t="shared" si="4"/>
        <v>47664</v>
      </c>
      <c r="AV5" s="351">
        <f t="shared" si="4"/>
        <v>47695</v>
      </c>
      <c r="AW5" s="351">
        <f t="shared" si="4"/>
        <v>47726</v>
      </c>
      <c r="AX5" s="351">
        <f t="shared" si="4"/>
        <v>47756</v>
      </c>
      <c r="AY5" s="351">
        <f>EOMONTH(AX5,1)</f>
        <v>47787</v>
      </c>
      <c r="AZ5" s="351">
        <f t="shared" ref="AZ5" si="5">EOMONTH(AY5,1)</f>
        <v>47817</v>
      </c>
      <c r="BA5" s="351">
        <f t="shared" ref="BA5" si="6">EOMONTH(AZ5,1)</f>
        <v>47848</v>
      </c>
      <c r="BB5" s="351">
        <f>EOMONTH(BA5,1)</f>
        <v>47879</v>
      </c>
      <c r="BC5" s="351">
        <f t="shared" si="4"/>
        <v>47907</v>
      </c>
      <c r="BH5" s="2"/>
      <c r="BI5" s="2"/>
      <c r="BJ5" s="2"/>
      <c r="BK5" s="2"/>
      <c r="BL5" s="2"/>
      <c r="BM5" s="2"/>
    </row>
    <row r="6" spans="1:65">
      <c r="E6" s="75"/>
      <c r="F6" s="78"/>
      <c r="G6" s="78"/>
      <c r="H6" s="78"/>
      <c r="I6" s="78"/>
      <c r="J6" s="78"/>
      <c r="K6" s="78"/>
      <c r="L6" s="79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</row>
    <row r="7" spans="1:65">
      <c r="A7" s="1" t="s">
        <v>307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1">
        <f>IF(SUMMARY!$G$9&gt;Proforma!I8,SUMMARY!$G$10,0)</f>
        <v>2</v>
      </c>
      <c r="K7" s="1">
        <f>IF(SUMMARY!$G$9&gt;Proforma!J8,SUMMARY!$G$10,0)</f>
        <v>2</v>
      </c>
      <c r="L7" s="1">
        <f>IF(SUMMARY!$G$9&gt;Proforma!K8,SUMMARY!$G$10,0)</f>
        <v>2</v>
      </c>
      <c r="M7" s="1">
        <f>IF(SUMMARY!$G$9&gt;Proforma!L8,SUMMARY!$G$10,0)</f>
        <v>2</v>
      </c>
      <c r="N7" s="1">
        <f>IF(SUMMARY!$G$9&gt;Proforma!M8,SUMMARY!$G$10,0)</f>
        <v>2</v>
      </c>
      <c r="O7" s="1">
        <f>IF(SUMMARY!$G$9&gt;Proforma!N8,SUMMARY!$G$10,0)</f>
        <v>2</v>
      </c>
      <c r="P7" s="1">
        <f>IF(SUMMARY!$G$9&gt;Proforma!O8,SUMMARY!$G$10,0)</f>
        <v>2</v>
      </c>
      <c r="Q7" s="1">
        <f>IF(SUMMARY!$G$9&gt;Proforma!P8,SUMMARY!$G$10,0)</f>
        <v>2</v>
      </c>
      <c r="R7" s="1">
        <f>IF(SUMMARY!$G$9&gt;Proforma!Q8,SUMMARY!$G$10,0)</f>
        <v>2</v>
      </c>
      <c r="S7" s="1">
        <f>IF(SUMMARY!$G$9&gt;Proforma!R8,SUMMARY!$G$10,0)</f>
        <v>2</v>
      </c>
      <c r="T7" s="1">
        <f>IF(SUMMARY!$G$9&gt;Proforma!S8,SUMMARY!$G$10,0)</f>
        <v>2</v>
      </c>
      <c r="U7" s="1">
        <f>IF(SUMMARY!$G$9&gt;Proforma!T8,SUMMARY!$G$10,0)</f>
        <v>2</v>
      </c>
      <c r="V7" s="1">
        <f>IF(SUMMARY!$G$9&gt;Proforma!U8,SUMMARY!$G$10,0)</f>
        <v>2</v>
      </c>
      <c r="W7" s="1">
        <f>IF(SUMMARY!$G$9&gt;Proforma!V8,SUMMARY!$G$10,0)</f>
        <v>2</v>
      </c>
      <c r="X7" s="1">
        <f>IF(SUMMARY!$G$9&gt;Proforma!W8,SUMMARY!$G$10,0)</f>
        <v>2</v>
      </c>
      <c r="Y7" s="1">
        <f>IF(SUMMARY!$G$9&gt;Proforma!X8,SUMMARY!$G$10,0)</f>
        <v>2</v>
      </c>
      <c r="Z7" s="1">
        <f>IF(SUMMARY!$G$9&gt;Proforma!Y8,SUMMARY!$G$10,0)</f>
        <v>2</v>
      </c>
      <c r="AA7" s="1">
        <f>IF(SUMMARY!$G$9&gt;Proforma!Z8,SUMMARY!$G$10,0)</f>
        <v>2</v>
      </c>
      <c r="AB7" s="1">
        <f>IF(SUMMARY!$G$9&gt;Proforma!AA8,SUMMARY!$G$10,0)</f>
        <v>2</v>
      </c>
      <c r="AC7" s="1">
        <f>IF(SUMMARY!$G$9&gt;Proforma!AB8,SUMMARY!$G$10,0)</f>
        <v>2</v>
      </c>
      <c r="AD7" s="1">
        <f>IF(SUMMARY!$G$9&gt;Proforma!AC8,SUMMARY!$G$10,0)</f>
        <v>2</v>
      </c>
      <c r="AE7" s="1">
        <f>IF(SUMMARY!$G$9&gt;Proforma!AD8,SUMMARY!$G$10,0)</f>
        <v>2</v>
      </c>
      <c r="AF7" s="1">
        <f>IF(SUMMARY!$G$9&gt;Proforma!AE8,SUMMARY!$G$10,0)</f>
        <v>2</v>
      </c>
      <c r="AG7" s="1">
        <f>IF(SUMMARY!$G$9&gt;Proforma!AF8,SUMMARY!$G$10,0)</f>
        <v>2</v>
      </c>
      <c r="AH7" s="1">
        <f>IF(SUMMARY!$G$9&gt;Proforma!AG8,SUMMARY!$G$10,0)</f>
        <v>2</v>
      </c>
      <c r="AI7" s="1">
        <f>IF(SUMMARY!$G$9&gt;Proforma!AH8,SUMMARY!$G$10,0)</f>
        <v>2</v>
      </c>
      <c r="AJ7" s="1">
        <f>IF(SUMMARY!$G$9&gt;Proforma!AI8,SUMMARY!$G$10,0)</f>
        <v>2</v>
      </c>
      <c r="AK7" s="1">
        <f>IF(SUMMARY!$G$9&gt;Proforma!AJ8,SUMMARY!$G$10,0)</f>
        <v>2</v>
      </c>
      <c r="AL7" s="1">
        <f>IF(SUMMARY!$G$9&gt;Proforma!AK8,SUMMARY!$G$10,0)</f>
        <v>2</v>
      </c>
      <c r="AM7" s="1">
        <f>IF(SUMMARY!$G$9&gt;Proforma!AL8,SUMMARY!$G$10,0)</f>
        <v>2</v>
      </c>
      <c r="AN7" s="1">
        <f>IF(SUMMARY!$G$9&gt;Proforma!AM8,SUMMARY!$G$10,0)</f>
        <v>2</v>
      </c>
      <c r="AO7" s="1">
        <f>IF(SUMMARY!$G$9&gt;Proforma!AN8,SUMMARY!$G$10,0)</f>
        <v>2</v>
      </c>
      <c r="AP7" s="1">
        <f>IF(SUMMARY!$G$9&gt;Proforma!AO8,SUMMARY!$G$10,0)</f>
        <v>2</v>
      </c>
      <c r="AQ7" s="1">
        <f>IF(SUMMARY!$G$9&gt;Proforma!AP8,SUMMARY!$G$10,0)</f>
        <v>2</v>
      </c>
      <c r="AR7" s="1">
        <f>IF(SUMMARY!$G$9&gt;Proforma!AQ8,SUMMARY!$G$10,0)</f>
        <v>2</v>
      </c>
      <c r="AS7" s="1">
        <f>IF(SUMMARY!$G$9&gt;Proforma!AR8,SUMMARY!$G$10,0)</f>
        <v>2</v>
      </c>
      <c r="AT7" s="1">
        <f>IF(SUMMARY!$G$9&gt;Proforma!AS8,SUMMARY!$G$10,0)</f>
        <v>2</v>
      </c>
      <c r="AU7" s="1">
        <f>IF(SUMMARY!$G$9&gt;Proforma!AT8,SUMMARY!$G$10,0)</f>
        <v>2</v>
      </c>
      <c r="AV7" s="1">
        <f>IF(SUMMARY!$G$9&gt;Proforma!AU8,SUMMARY!$G$10,0)</f>
        <v>2</v>
      </c>
      <c r="AW7" s="1">
        <f>IF(SUMMARY!$G$9&gt;Proforma!AV8,SUMMARY!$G$10,0)</f>
        <v>2</v>
      </c>
      <c r="AX7" s="1">
        <f>IF(SUMMARY!$G$9&gt;Proforma!AW8,SUMMARY!$G$10,0)</f>
        <v>2</v>
      </c>
      <c r="AY7" s="1">
        <f>IF(SUMMARY!$G$9&gt;Proforma!AX8,SUMMARY!$G$10,0)</f>
        <v>2</v>
      </c>
      <c r="AZ7" s="1">
        <f>IF(SUMMARY!$G$9&gt;Proforma!AY8,SUMMARY!$G$10,0)</f>
        <v>2</v>
      </c>
      <c r="BA7" s="1">
        <f>IF(SUMMARY!$G$9&gt;Proforma!AZ8,SUMMARY!$G$10,0)</f>
        <v>2</v>
      </c>
      <c r="BB7" s="1">
        <f>IF(SUMMARY!$G$9&gt;Proforma!BA8,SUMMARY!$G$10,0)</f>
        <v>0</v>
      </c>
      <c r="BC7" s="1">
        <f>IF(SUMMARY!$G$9&gt;Proforma!BB8,SUMMARY!$G$10,0)</f>
        <v>0</v>
      </c>
      <c r="BD7" s="1">
        <f>SUM(F7:BC7)</f>
        <v>88</v>
      </c>
      <c r="BG7" s="370">
        <v>0</v>
      </c>
      <c r="BH7" s="370">
        <f>SUM(F7:Q7)</f>
        <v>16</v>
      </c>
      <c r="BI7" s="370">
        <f>SUM(R7:AC7)</f>
        <v>24</v>
      </c>
      <c r="BJ7" s="370">
        <f>SUM(AD7:AO7)</f>
        <v>24</v>
      </c>
      <c r="BK7" s="370">
        <f>SUM(AP7:BA7)</f>
        <v>24</v>
      </c>
      <c r="BL7" s="370">
        <f>SUM(BB7:BC7)</f>
        <v>0</v>
      </c>
      <c r="BM7" s="370">
        <f>SUM(BH7:BL7)</f>
        <v>88</v>
      </c>
    </row>
    <row r="8" spans="1:65">
      <c r="A8" s="1" t="s">
        <v>344</v>
      </c>
      <c r="E8" s="1">
        <f t="shared" ref="E8:J8" si="7">E7+D8</f>
        <v>0</v>
      </c>
      <c r="F8" s="1">
        <f t="shared" si="7"/>
        <v>0</v>
      </c>
      <c r="G8" s="1">
        <f t="shared" si="7"/>
        <v>0</v>
      </c>
      <c r="H8" s="1">
        <f t="shared" si="7"/>
        <v>0</v>
      </c>
      <c r="I8" s="1">
        <f t="shared" si="7"/>
        <v>0</v>
      </c>
      <c r="J8" s="1">
        <f t="shared" si="7"/>
        <v>2</v>
      </c>
      <c r="K8" s="1">
        <f>K7+J8</f>
        <v>4</v>
      </c>
      <c r="L8" s="1">
        <f t="shared" ref="L8:BC8" si="8">L7+K8</f>
        <v>6</v>
      </c>
      <c r="M8" s="1">
        <f t="shared" si="8"/>
        <v>8</v>
      </c>
      <c r="N8" s="1">
        <f t="shared" si="8"/>
        <v>10</v>
      </c>
      <c r="O8" s="1">
        <f t="shared" si="8"/>
        <v>12</v>
      </c>
      <c r="P8" s="1">
        <f t="shared" si="8"/>
        <v>14</v>
      </c>
      <c r="Q8" s="1">
        <f t="shared" si="8"/>
        <v>16</v>
      </c>
      <c r="R8" s="1">
        <f t="shared" si="8"/>
        <v>18</v>
      </c>
      <c r="S8" s="1">
        <f t="shared" si="8"/>
        <v>20</v>
      </c>
      <c r="T8" s="1">
        <f t="shared" si="8"/>
        <v>22</v>
      </c>
      <c r="U8" s="1">
        <f t="shared" si="8"/>
        <v>24</v>
      </c>
      <c r="V8" s="1">
        <f t="shared" si="8"/>
        <v>26</v>
      </c>
      <c r="W8" s="1">
        <f t="shared" si="8"/>
        <v>28</v>
      </c>
      <c r="X8" s="1">
        <f t="shared" si="8"/>
        <v>30</v>
      </c>
      <c r="Y8" s="1">
        <f t="shared" si="8"/>
        <v>32</v>
      </c>
      <c r="Z8" s="1">
        <f t="shared" si="8"/>
        <v>34</v>
      </c>
      <c r="AA8" s="1">
        <f t="shared" si="8"/>
        <v>36</v>
      </c>
      <c r="AB8" s="1">
        <f t="shared" si="8"/>
        <v>38</v>
      </c>
      <c r="AC8" s="1">
        <f t="shared" si="8"/>
        <v>40</v>
      </c>
      <c r="AD8" s="1">
        <f t="shared" si="8"/>
        <v>42</v>
      </c>
      <c r="AE8" s="1">
        <f t="shared" si="8"/>
        <v>44</v>
      </c>
      <c r="AF8" s="1">
        <f t="shared" si="8"/>
        <v>46</v>
      </c>
      <c r="AG8" s="1">
        <f t="shared" si="8"/>
        <v>48</v>
      </c>
      <c r="AH8" s="1">
        <f t="shared" si="8"/>
        <v>50</v>
      </c>
      <c r="AI8" s="1">
        <f t="shared" si="8"/>
        <v>52</v>
      </c>
      <c r="AJ8" s="1">
        <f t="shared" si="8"/>
        <v>54</v>
      </c>
      <c r="AK8" s="1">
        <f t="shared" si="8"/>
        <v>56</v>
      </c>
      <c r="AL8" s="1">
        <f t="shared" si="8"/>
        <v>58</v>
      </c>
      <c r="AM8" s="1">
        <f t="shared" si="8"/>
        <v>60</v>
      </c>
      <c r="AN8" s="1">
        <f t="shared" si="8"/>
        <v>62</v>
      </c>
      <c r="AO8" s="1">
        <f t="shared" si="8"/>
        <v>64</v>
      </c>
      <c r="AP8" s="1">
        <f t="shared" si="8"/>
        <v>66</v>
      </c>
      <c r="AQ8" s="1">
        <f t="shared" si="8"/>
        <v>68</v>
      </c>
      <c r="AR8" s="1">
        <f t="shared" si="8"/>
        <v>70</v>
      </c>
      <c r="AS8" s="1">
        <f t="shared" si="8"/>
        <v>72</v>
      </c>
      <c r="AT8" s="1">
        <f t="shared" si="8"/>
        <v>74</v>
      </c>
      <c r="AU8" s="1">
        <f t="shared" si="8"/>
        <v>76</v>
      </c>
      <c r="AV8" s="1">
        <f t="shared" si="8"/>
        <v>78</v>
      </c>
      <c r="AW8" s="1">
        <f t="shared" si="8"/>
        <v>80</v>
      </c>
      <c r="AX8" s="1">
        <f t="shared" si="8"/>
        <v>82</v>
      </c>
      <c r="AY8" s="1">
        <f t="shared" si="8"/>
        <v>84</v>
      </c>
      <c r="AZ8" s="1">
        <f t="shared" si="8"/>
        <v>86</v>
      </c>
      <c r="BA8" s="1">
        <f t="shared" si="8"/>
        <v>88</v>
      </c>
      <c r="BB8" s="1">
        <f t="shared" si="8"/>
        <v>88</v>
      </c>
      <c r="BC8" s="1">
        <f t="shared" si="8"/>
        <v>88</v>
      </c>
      <c r="BG8" s="370">
        <v>0</v>
      </c>
      <c r="BH8" s="370">
        <f>+Q8</f>
        <v>16</v>
      </c>
      <c r="BI8" s="370">
        <f>+AC8</f>
        <v>40</v>
      </c>
      <c r="BJ8" s="370">
        <f>+AO8</f>
        <v>64</v>
      </c>
      <c r="BK8" s="370">
        <f>BA8</f>
        <v>88</v>
      </c>
      <c r="BL8" s="370">
        <f>BC8</f>
        <v>88</v>
      </c>
      <c r="BM8" s="370"/>
    </row>
    <row r="9" spans="1:65">
      <c r="A9" s="1" t="s">
        <v>306</v>
      </c>
      <c r="C9" s="80"/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102">
        <v>0</v>
      </c>
      <c r="Y9" s="102">
        <v>0</v>
      </c>
      <c r="Z9" s="102">
        <v>0</v>
      </c>
      <c r="AA9" s="102">
        <v>0</v>
      </c>
      <c r="AB9" s="102">
        <v>0</v>
      </c>
      <c r="AC9" s="102">
        <v>0</v>
      </c>
      <c r="AD9" s="102">
        <f>AB8</f>
        <v>38</v>
      </c>
      <c r="AE9" s="102">
        <f>AC7</f>
        <v>2</v>
      </c>
      <c r="AF9" s="102">
        <f t="shared" ref="AF9:BC9" si="9">AD7</f>
        <v>2</v>
      </c>
      <c r="AG9" s="102">
        <f t="shared" si="9"/>
        <v>2</v>
      </c>
      <c r="AH9" s="102">
        <f t="shared" si="9"/>
        <v>2</v>
      </c>
      <c r="AI9" s="102">
        <f t="shared" si="9"/>
        <v>2</v>
      </c>
      <c r="AJ9" s="102">
        <f t="shared" si="9"/>
        <v>2</v>
      </c>
      <c r="AK9" s="102">
        <f t="shared" si="9"/>
        <v>2</v>
      </c>
      <c r="AL9" s="102">
        <f t="shared" si="9"/>
        <v>2</v>
      </c>
      <c r="AM9" s="102">
        <f t="shared" si="9"/>
        <v>2</v>
      </c>
      <c r="AN9" s="102">
        <f t="shared" si="9"/>
        <v>2</v>
      </c>
      <c r="AO9" s="102">
        <f t="shared" si="9"/>
        <v>2</v>
      </c>
      <c r="AP9" s="102">
        <f t="shared" si="9"/>
        <v>2</v>
      </c>
      <c r="AQ9" s="102">
        <f t="shared" si="9"/>
        <v>2</v>
      </c>
      <c r="AR9" s="102">
        <f t="shared" si="9"/>
        <v>2</v>
      </c>
      <c r="AS9" s="102">
        <f t="shared" si="9"/>
        <v>2</v>
      </c>
      <c r="AT9" s="102">
        <f t="shared" si="9"/>
        <v>2</v>
      </c>
      <c r="AU9" s="102">
        <f t="shared" si="9"/>
        <v>2</v>
      </c>
      <c r="AV9" s="102">
        <f t="shared" si="9"/>
        <v>2</v>
      </c>
      <c r="AW9" s="102">
        <f t="shared" si="9"/>
        <v>2</v>
      </c>
      <c r="AX9" s="102">
        <f t="shared" si="9"/>
        <v>2</v>
      </c>
      <c r="AY9" s="102">
        <f t="shared" si="9"/>
        <v>2</v>
      </c>
      <c r="AZ9" s="102">
        <f t="shared" si="9"/>
        <v>2</v>
      </c>
      <c r="BA9" s="102">
        <f t="shared" si="9"/>
        <v>2</v>
      </c>
      <c r="BB9" s="102">
        <f t="shared" si="9"/>
        <v>2</v>
      </c>
      <c r="BC9" s="102">
        <f t="shared" si="9"/>
        <v>2</v>
      </c>
      <c r="BD9" s="1">
        <f>SUM(F9:BC9)</f>
        <v>88</v>
      </c>
      <c r="BG9" s="370">
        <v>0</v>
      </c>
      <c r="BH9" s="370">
        <f>SUM(F9:Q9)</f>
        <v>0</v>
      </c>
      <c r="BI9" s="370">
        <f>SUM(R9:AC9)</f>
        <v>0</v>
      </c>
      <c r="BJ9" s="370">
        <f>SUM(AD9:AO9)</f>
        <v>60</v>
      </c>
      <c r="BK9" s="370">
        <f>SUM(AP9:BA9)</f>
        <v>24</v>
      </c>
      <c r="BL9" s="370">
        <f>SUM(BB9:BC9)</f>
        <v>4</v>
      </c>
      <c r="BM9" s="370">
        <f>SUM(BH9:BL9)</f>
        <v>88</v>
      </c>
    </row>
    <row r="10" spans="1:65">
      <c r="A10" s="1" t="s">
        <v>302</v>
      </c>
      <c r="E10" s="1">
        <f>+BD10</f>
        <v>0</v>
      </c>
      <c r="F10" s="1">
        <f>+F9</f>
        <v>0</v>
      </c>
      <c r="G10" s="1">
        <f>G9+F10</f>
        <v>0</v>
      </c>
      <c r="H10" s="1">
        <f>H9+G10</f>
        <v>0</v>
      </c>
      <c r="I10" s="1">
        <f>I9+H10</f>
        <v>0</v>
      </c>
      <c r="J10" s="1">
        <f>J9+I10</f>
        <v>0</v>
      </c>
      <c r="K10" s="1">
        <f t="shared" ref="K10:BC10" si="10">K9+J10</f>
        <v>0</v>
      </c>
      <c r="L10" s="1">
        <f t="shared" si="10"/>
        <v>0</v>
      </c>
      <c r="M10" s="1">
        <f t="shared" si="10"/>
        <v>0</v>
      </c>
      <c r="N10" s="1">
        <f t="shared" si="10"/>
        <v>0</v>
      </c>
      <c r="O10" s="1">
        <f t="shared" si="10"/>
        <v>0</v>
      </c>
      <c r="P10" s="1">
        <f t="shared" si="10"/>
        <v>0</v>
      </c>
      <c r="Q10" s="1">
        <f t="shared" si="10"/>
        <v>0</v>
      </c>
      <c r="R10" s="1">
        <f t="shared" si="10"/>
        <v>0</v>
      </c>
      <c r="S10" s="1">
        <f t="shared" si="10"/>
        <v>0</v>
      </c>
      <c r="T10" s="1">
        <f t="shared" si="10"/>
        <v>0</v>
      </c>
      <c r="U10" s="1">
        <f t="shared" si="10"/>
        <v>0</v>
      </c>
      <c r="V10" s="1">
        <f t="shared" si="10"/>
        <v>0</v>
      </c>
      <c r="W10" s="1">
        <f t="shared" si="10"/>
        <v>0</v>
      </c>
      <c r="X10" s="1">
        <f t="shared" si="10"/>
        <v>0</v>
      </c>
      <c r="Y10" s="1">
        <f t="shared" si="10"/>
        <v>0</v>
      </c>
      <c r="Z10" s="1">
        <f t="shared" si="10"/>
        <v>0</v>
      </c>
      <c r="AA10" s="1">
        <f t="shared" si="10"/>
        <v>0</v>
      </c>
      <c r="AB10" s="1">
        <f t="shared" si="10"/>
        <v>0</v>
      </c>
      <c r="AC10" s="1">
        <f t="shared" si="10"/>
        <v>0</v>
      </c>
      <c r="AD10" s="1">
        <f t="shared" si="10"/>
        <v>38</v>
      </c>
      <c r="AE10" s="1">
        <f t="shared" si="10"/>
        <v>40</v>
      </c>
      <c r="AF10" s="1">
        <f t="shared" si="10"/>
        <v>42</v>
      </c>
      <c r="AG10" s="1">
        <f t="shared" si="10"/>
        <v>44</v>
      </c>
      <c r="AH10" s="1">
        <f t="shared" si="10"/>
        <v>46</v>
      </c>
      <c r="AI10" s="1">
        <f t="shared" si="10"/>
        <v>48</v>
      </c>
      <c r="AJ10" s="1">
        <f t="shared" si="10"/>
        <v>50</v>
      </c>
      <c r="AK10" s="1">
        <f t="shared" si="10"/>
        <v>52</v>
      </c>
      <c r="AL10" s="1">
        <f t="shared" si="10"/>
        <v>54</v>
      </c>
      <c r="AM10" s="1">
        <f t="shared" si="10"/>
        <v>56</v>
      </c>
      <c r="AN10" s="1">
        <f t="shared" si="10"/>
        <v>58</v>
      </c>
      <c r="AO10" s="1">
        <f t="shared" si="10"/>
        <v>60</v>
      </c>
      <c r="AP10" s="1">
        <f t="shared" si="10"/>
        <v>62</v>
      </c>
      <c r="AQ10" s="1">
        <f t="shared" si="10"/>
        <v>64</v>
      </c>
      <c r="AR10" s="1">
        <f t="shared" si="10"/>
        <v>66</v>
      </c>
      <c r="AS10" s="1">
        <f t="shared" si="10"/>
        <v>68</v>
      </c>
      <c r="AT10" s="1">
        <f t="shared" si="10"/>
        <v>70</v>
      </c>
      <c r="AU10" s="1">
        <f t="shared" si="10"/>
        <v>72</v>
      </c>
      <c r="AV10" s="1">
        <f t="shared" si="10"/>
        <v>74</v>
      </c>
      <c r="AW10" s="1">
        <f t="shared" si="10"/>
        <v>76</v>
      </c>
      <c r="AX10" s="1">
        <f t="shared" si="10"/>
        <v>78</v>
      </c>
      <c r="AY10" s="1">
        <f t="shared" si="10"/>
        <v>80</v>
      </c>
      <c r="AZ10" s="1">
        <f t="shared" si="10"/>
        <v>82</v>
      </c>
      <c r="BA10" s="1">
        <f t="shared" si="10"/>
        <v>84</v>
      </c>
      <c r="BB10" s="1">
        <f t="shared" si="10"/>
        <v>86</v>
      </c>
      <c r="BC10" s="1">
        <f t="shared" si="10"/>
        <v>88</v>
      </c>
      <c r="BG10" s="370">
        <v>0</v>
      </c>
      <c r="BH10" s="370">
        <f>+Q10</f>
        <v>0</v>
      </c>
      <c r="BI10" s="370">
        <f>+AC10</f>
        <v>0</v>
      </c>
      <c r="BJ10" s="370">
        <f>+AO10</f>
        <v>60</v>
      </c>
      <c r="BK10" s="370">
        <f>BA10</f>
        <v>84</v>
      </c>
      <c r="BL10" s="370">
        <f>BC10</f>
        <v>88</v>
      </c>
      <c r="BM10" s="370"/>
    </row>
    <row r="11" spans="1:65">
      <c r="A11" s="1" t="s">
        <v>4</v>
      </c>
      <c r="E11" s="64"/>
      <c r="F11" s="64">
        <f>+'Lot Pricing'!C93</f>
        <v>402840.909090909</v>
      </c>
      <c r="G11" s="64">
        <f t="shared" ref="G11:BC11" si="11">+F11*(1+(G12/12))</f>
        <v>402840.909090909</v>
      </c>
      <c r="H11" s="64">
        <f t="shared" si="11"/>
        <v>402840.909090909</v>
      </c>
      <c r="I11" s="64">
        <f t="shared" si="11"/>
        <v>402840.909090909</v>
      </c>
      <c r="J11" s="64">
        <f t="shared" si="11"/>
        <v>402840.909090909</v>
      </c>
      <c r="K11" s="64">
        <f t="shared" si="11"/>
        <v>402840.909090909</v>
      </c>
      <c r="L11" s="64">
        <f t="shared" si="11"/>
        <v>402840.909090909</v>
      </c>
      <c r="M11" s="64">
        <f t="shared" si="11"/>
        <v>402840.909090909</v>
      </c>
      <c r="N11" s="64">
        <f t="shared" si="11"/>
        <v>402840.909090909</v>
      </c>
      <c r="O11" s="64">
        <f t="shared" si="11"/>
        <v>402840.909090909</v>
      </c>
      <c r="P11" s="64">
        <f t="shared" si="11"/>
        <v>402840.909090909</v>
      </c>
      <c r="Q11" s="64">
        <f t="shared" si="11"/>
        <v>402840.909090909</v>
      </c>
      <c r="R11" s="64">
        <f t="shared" si="11"/>
        <v>404519.412878788</v>
      </c>
      <c r="S11" s="64">
        <f t="shared" si="11"/>
        <v>404519.412878788</v>
      </c>
      <c r="T11" s="64">
        <f t="shared" si="11"/>
        <v>404519.412878788</v>
      </c>
      <c r="U11" s="64">
        <f t="shared" si="11"/>
        <v>404519.412878788</v>
      </c>
      <c r="V11" s="64">
        <f t="shared" si="11"/>
        <v>404519.412878788</v>
      </c>
      <c r="W11" s="64">
        <f t="shared" si="11"/>
        <v>404519.412878788</v>
      </c>
      <c r="X11" s="64">
        <f t="shared" si="11"/>
        <v>404519.412878788</v>
      </c>
      <c r="Y11" s="64">
        <f t="shared" si="11"/>
        <v>404519.412878788</v>
      </c>
      <c r="Z11" s="64">
        <f t="shared" si="11"/>
        <v>404519.412878788</v>
      </c>
      <c r="AA11" s="64">
        <f t="shared" si="11"/>
        <v>404519.412878788</v>
      </c>
      <c r="AB11" s="64">
        <f t="shared" si="11"/>
        <v>404519.412878788</v>
      </c>
      <c r="AC11" s="64">
        <f t="shared" si="11"/>
        <v>404519.412878788</v>
      </c>
      <c r="AD11" s="64">
        <f t="shared" si="11"/>
        <v>406204.91043245</v>
      </c>
      <c r="AE11" s="64">
        <f t="shared" si="11"/>
        <v>406204.91043245</v>
      </c>
      <c r="AF11" s="64">
        <f t="shared" si="11"/>
        <v>406204.91043245</v>
      </c>
      <c r="AG11" s="64">
        <f t="shared" si="11"/>
        <v>406204.91043245</v>
      </c>
      <c r="AH11" s="64">
        <f t="shared" si="11"/>
        <v>406204.91043245</v>
      </c>
      <c r="AI11" s="64">
        <f t="shared" si="11"/>
        <v>406204.91043245</v>
      </c>
      <c r="AJ11" s="64">
        <f t="shared" si="11"/>
        <v>406204.91043245</v>
      </c>
      <c r="AK11" s="64">
        <f t="shared" si="11"/>
        <v>406204.91043245</v>
      </c>
      <c r="AL11" s="64">
        <f t="shared" si="11"/>
        <v>406204.91043245</v>
      </c>
      <c r="AM11" s="64">
        <f t="shared" si="11"/>
        <v>406204.91043245</v>
      </c>
      <c r="AN11" s="64">
        <f t="shared" si="11"/>
        <v>406204.91043245</v>
      </c>
      <c r="AO11" s="64">
        <f t="shared" si="11"/>
        <v>406204.91043245</v>
      </c>
      <c r="AP11" s="64">
        <f t="shared" si="11"/>
        <v>407897.430892585</v>
      </c>
      <c r="AQ11" s="64">
        <f t="shared" si="11"/>
        <v>407897.430892585</v>
      </c>
      <c r="AR11" s="64">
        <f t="shared" si="11"/>
        <v>407897.430892585</v>
      </c>
      <c r="AS11" s="64">
        <f t="shared" si="11"/>
        <v>407897.430892585</v>
      </c>
      <c r="AT11" s="64">
        <f t="shared" si="11"/>
        <v>407897.430892585</v>
      </c>
      <c r="AU11" s="64">
        <f t="shared" si="11"/>
        <v>407897.430892585</v>
      </c>
      <c r="AV11" s="64">
        <f t="shared" si="11"/>
        <v>407897.430892585</v>
      </c>
      <c r="AW11" s="64">
        <f t="shared" si="11"/>
        <v>407897.430892585</v>
      </c>
      <c r="AX11" s="64">
        <f t="shared" si="11"/>
        <v>407897.430892585</v>
      </c>
      <c r="AY11" s="64">
        <f>+AU11*(1+(AY12/12))</f>
        <v>407897.430892585</v>
      </c>
      <c r="AZ11" s="64">
        <f t="shared" ref="AZ11" si="12">+AY11*(1+(AZ12/12))</f>
        <v>407897.430892585</v>
      </c>
      <c r="BA11" s="64">
        <f t="shared" ref="BA11" si="13">+AZ11*(1+(BA12/12))</f>
        <v>407897.430892585</v>
      </c>
      <c r="BB11" s="64">
        <f>+AX11*(1+(BB12/12))</f>
        <v>409597.003521304</v>
      </c>
      <c r="BC11" s="64">
        <f t="shared" si="11"/>
        <v>409597.003521304</v>
      </c>
    </row>
    <row r="12" spans="1:65">
      <c r="A12" s="1" t="s">
        <v>9</v>
      </c>
      <c r="E12" s="64"/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400">
        <v>0.05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400">
        <v>0.05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>
        <v>0</v>
      </c>
      <c r="AK12" s="82">
        <v>0</v>
      </c>
      <c r="AL12" s="82">
        <v>0</v>
      </c>
      <c r="AM12" s="82">
        <v>0</v>
      </c>
      <c r="AN12" s="82">
        <v>0</v>
      </c>
      <c r="AO12" s="82">
        <v>0</v>
      </c>
      <c r="AP12" s="400">
        <v>0.05</v>
      </c>
      <c r="AQ12" s="82">
        <v>0</v>
      </c>
      <c r="AR12" s="82">
        <v>0</v>
      </c>
      <c r="AS12" s="82">
        <v>0</v>
      </c>
      <c r="AT12" s="82">
        <v>0</v>
      </c>
      <c r="AU12" s="82">
        <v>0</v>
      </c>
      <c r="AV12" s="82">
        <v>0</v>
      </c>
      <c r="AW12" s="82">
        <v>0</v>
      </c>
      <c r="AX12" s="82">
        <v>0</v>
      </c>
      <c r="AY12" s="82">
        <v>0</v>
      </c>
      <c r="AZ12" s="82">
        <v>0</v>
      </c>
      <c r="BA12" s="82">
        <v>0</v>
      </c>
      <c r="BB12" s="400">
        <v>0.05</v>
      </c>
      <c r="BC12" s="82">
        <v>0</v>
      </c>
    </row>
    <row r="13" spans="1:65">
      <c r="E13" s="64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</row>
    <row r="14" spans="1:65">
      <c r="A14" s="1" t="s">
        <v>16</v>
      </c>
      <c r="C14" s="349">
        <v>50</v>
      </c>
      <c r="E14" s="64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</row>
    <row r="15" spans="1:65">
      <c r="E15" s="64"/>
      <c r="F15" s="64"/>
      <c r="G15" s="64"/>
      <c r="H15" s="64"/>
      <c r="I15" s="64"/>
      <c r="J15" s="64"/>
      <c r="K15" s="64"/>
      <c r="L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M15" s="64"/>
    </row>
    <row r="16" spans="1:65">
      <c r="A16" s="13" t="s">
        <v>30</v>
      </c>
      <c r="E16" s="23"/>
      <c r="F16" s="64"/>
      <c r="G16" s="64"/>
      <c r="H16" s="64"/>
      <c r="I16" s="64"/>
      <c r="J16" s="64"/>
      <c r="K16" s="64"/>
      <c r="L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M16" s="64"/>
    </row>
    <row r="17" spans="1:65">
      <c r="A17" s="1" t="s">
        <v>5</v>
      </c>
      <c r="E17" s="64">
        <f>+C9*E11</f>
        <v>0</v>
      </c>
      <c r="F17" s="64">
        <f t="shared" ref="F17:BC17" si="14">+F9*F11</f>
        <v>0</v>
      </c>
      <c r="G17" s="64">
        <f t="shared" si="14"/>
        <v>0</v>
      </c>
      <c r="H17" s="64">
        <f t="shared" si="14"/>
        <v>0</v>
      </c>
      <c r="I17" s="64">
        <f t="shared" si="14"/>
        <v>0</v>
      </c>
      <c r="J17" s="64">
        <f t="shared" si="14"/>
        <v>0</v>
      </c>
      <c r="K17" s="64">
        <f t="shared" si="14"/>
        <v>0</v>
      </c>
      <c r="L17" s="64">
        <f t="shared" si="14"/>
        <v>0</v>
      </c>
      <c r="M17" s="64">
        <f t="shared" si="14"/>
        <v>0</v>
      </c>
      <c r="N17" s="64">
        <f t="shared" si="14"/>
        <v>0</v>
      </c>
      <c r="O17" s="64">
        <f t="shared" si="14"/>
        <v>0</v>
      </c>
      <c r="P17" s="64">
        <f t="shared" si="14"/>
        <v>0</v>
      </c>
      <c r="Q17" s="64">
        <f t="shared" si="14"/>
        <v>0</v>
      </c>
      <c r="R17" s="64">
        <f t="shared" si="14"/>
        <v>0</v>
      </c>
      <c r="S17" s="64">
        <f t="shared" si="14"/>
        <v>0</v>
      </c>
      <c r="T17" s="64">
        <f t="shared" si="14"/>
        <v>0</v>
      </c>
      <c r="U17" s="64">
        <f t="shared" si="14"/>
        <v>0</v>
      </c>
      <c r="V17" s="64">
        <f t="shared" si="14"/>
        <v>0</v>
      </c>
      <c r="W17" s="64">
        <f t="shared" si="14"/>
        <v>0</v>
      </c>
      <c r="X17" s="64">
        <f t="shared" si="14"/>
        <v>0</v>
      </c>
      <c r="Y17" s="64">
        <f t="shared" si="14"/>
        <v>0</v>
      </c>
      <c r="Z17" s="64">
        <f t="shared" si="14"/>
        <v>0</v>
      </c>
      <c r="AA17" s="64">
        <f t="shared" si="14"/>
        <v>0</v>
      </c>
      <c r="AB17" s="64">
        <f t="shared" si="14"/>
        <v>0</v>
      </c>
      <c r="AC17" s="64">
        <f t="shared" si="14"/>
        <v>0</v>
      </c>
      <c r="AD17" s="64">
        <f t="shared" si="14"/>
        <v>15435786.5964331</v>
      </c>
      <c r="AE17" s="64">
        <f t="shared" si="14"/>
        <v>812409.820864899</v>
      </c>
      <c r="AF17" s="64">
        <f t="shared" si="14"/>
        <v>812409.820864899</v>
      </c>
      <c r="AG17" s="64">
        <f t="shared" si="14"/>
        <v>812409.820864899</v>
      </c>
      <c r="AH17" s="64">
        <f t="shared" si="14"/>
        <v>812409.820864899</v>
      </c>
      <c r="AI17" s="64">
        <f t="shared" si="14"/>
        <v>812409.820864899</v>
      </c>
      <c r="AJ17" s="64">
        <f t="shared" si="14"/>
        <v>812409.820864899</v>
      </c>
      <c r="AK17" s="64">
        <f t="shared" si="14"/>
        <v>812409.820864899</v>
      </c>
      <c r="AL17" s="64">
        <f t="shared" si="14"/>
        <v>812409.820864899</v>
      </c>
      <c r="AM17" s="64">
        <f t="shared" si="14"/>
        <v>812409.820864899</v>
      </c>
      <c r="AN17" s="64">
        <f t="shared" si="14"/>
        <v>812409.820864899</v>
      </c>
      <c r="AO17" s="64">
        <f t="shared" si="14"/>
        <v>812409.820864899</v>
      </c>
      <c r="AP17" s="64">
        <f t="shared" si="14"/>
        <v>815794.861785169</v>
      </c>
      <c r="AQ17" s="64">
        <f t="shared" si="14"/>
        <v>815794.861785169</v>
      </c>
      <c r="AR17" s="64">
        <f t="shared" si="14"/>
        <v>815794.861785169</v>
      </c>
      <c r="AS17" s="64">
        <f t="shared" si="14"/>
        <v>815794.861785169</v>
      </c>
      <c r="AT17" s="64">
        <f t="shared" si="14"/>
        <v>815794.861785169</v>
      </c>
      <c r="AU17" s="64">
        <f t="shared" si="14"/>
        <v>815794.861785169</v>
      </c>
      <c r="AV17" s="64">
        <f t="shared" si="14"/>
        <v>815794.861785169</v>
      </c>
      <c r="AW17" s="64">
        <f t="shared" si="14"/>
        <v>815794.861785169</v>
      </c>
      <c r="AX17" s="64">
        <f t="shared" si="14"/>
        <v>815794.861785169</v>
      </c>
      <c r="AY17" s="64">
        <f t="shared" ref="AY17:BA17" si="15">+AY9*AY11</f>
        <v>815794.861785169</v>
      </c>
      <c r="AZ17" s="64">
        <f t="shared" si="15"/>
        <v>815794.861785169</v>
      </c>
      <c r="BA17" s="64">
        <f t="shared" si="15"/>
        <v>815794.861785169</v>
      </c>
      <c r="BB17" s="64">
        <f t="shared" si="14"/>
        <v>819194.007042608</v>
      </c>
      <c r="BC17" s="64">
        <f t="shared" si="14"/>
        <v>819194.007042608</v>
      </c>
      <c r="BD17" s="67">
        <f>SUM(F17:BC17)</f>
        <v>35800220.9814542</v>
      </c>
      <c r="BG17" s="64">
        <f>E17</f>
        <v>0</v>
      </c>
      <c r="BH17" s="64">
        <f>SUM(F17:Q17)</f>
        <v>0</v>
      </c>
      <c r="BI17" s="64">
        <f>SUM(R17:AC17)</f>
        <v>0</v>
      </c>
      <c r="BJ17" s="81">
        <f>SUM(AD17:AO17)</f>
        <v>24372294.625947</v>
      </c>
      <c r="BK17" s="64">
        <f>SUM(AP17:BA17)</f>
        <v>9789538.34142203</v>
      </c>
      <c r="BL17" s="64">
        <f>SUM(BB17:BC17)</f>
        <v>1638388.01408522</v>
      </c>
      <c r="BM17" s="64">
        <f>SUM(BH17:BL17)</f>
        <v>35800220.9814542</v>
      </c>
    </row>
    <row r="18" spans="1:65" ht="14.5">
      <c r="A18" s="101">
        <v>0.06</v>
      </c>
      <c r="B18" s="127"/>
      <c r="E18" s="83">
        <f>+(E17)*-$A$18</f>
        <v>-0</v>
      </c>
      <c r="F18" s="83">
        <f>+(F17)*-$A$18</f>
        <v>-0</v>
      </c>
      <c r="G18" s="83">
        <f t="shared" ref="G18:BC18" si="16">+(G17)*-$A$18</f>
        <v>-0</v>
      </c>
      <c r="H18" s="83">
        <f t="shared" si="16"/>
        <v>-0</v>
      </c>
      <c r="I18" s="83">
        <f t="shared" si="16"/>
        <v>-0</v>
      </c>
      <c r="J18" s="83">
        <f t="shared" si="16"/>
        <v>-0</v>
      </c>
      <c r="K18" s="83">
        <f t="shared" si="16"/>
        <v>-0</v>
      </c>
      <c r="L18" s="83">
        <f t="shared" si="16"/>
        <v>-0</v>
      </c>
      <c r="M18" s="83">
        <f t="shared" si="16"/>
        <v>-0</v>
      </c>
      <c r="N18" s="83">
        <f t="shared" si="16"/>
        <v>-0</v>
      </c>
      <c r="O18" s="83">
        <f t="shared" si="16"/>
        <v>-0</v>
      </c>
      <c r="P18" s="83">
        <f t="shared" si="16"/>
        <v>-0</v>
      </c>
      <c r="Q18" s="83">
        <f t="shared" si="16"/>
        <v>-0</v>
      </c>
      <c r="R18" s="83">
        <f t="shared" si="16"/>
        <v>-0</v>
      </c>
      <c r="S18" s="83">
        <f t="shared" si="16"/>
        <v>-0</v>
      </c>
      <c r="T18" s="83">
        <f t="shared" si="16"/>
        <v>-0</v>
      </c>
      <c r="U18" s="83">
        <f t="shared" si="16"/>
        <v>-0</v>
      </c>
      <c r="V18" s="83">
        <f t="shared" si="16"/>
        <v>-0</v>
      </c>
      <c r="W18" s="83">
        <f t="shared" si="16"/>
        <v>-0</v>
      </c>
      <c r="X18" s="83">
        <f t="shared" si="16"/>
        <v>-0</v>
      </c>
      <c r="Y18" s="83">
        <f t="shared" si="16"/>
        <v>-0</v>
      </c>
      <c r="Z18" s="83">
        <f t="shared" si="16"/>
        <v>-0</v>
      </c>
      <c r="AA18" s="83">
        <f t="shared" si="16"/>
        <v>-0</v>
      </c>
      <c r="AB18" s="83">
        <f t="shared" si="16"/>
        <v>-0</v>
      </c>
      <c r="AC18" s="83">
        <f t="shared" si="16"/>
        <v>-0</v>
      </c>
      <c r="AD18" s="83">
        <f t="shared" si="16"/>
        <v>-926147.195785985</v>
      </c>
      <c r="AE18" s="83">
        <f t="shared" si="16"/>
        <v>-48744.5892518939</v>
      </c>
      <c r="AF18" s="83">
        <f t="shared" si="16"/>
        <v>-48744.5892518939</v>
      </c>
      <c r="AG18" s="83">
        <f t="shared" si="16"/>
        <v>-48744.5892518939</v>
      </c>
      <c r="AH18" s="83">
        <f t="shared" si="16"/>
        <v>-48744.5892518939</v>
      </c>
      <c r="AI18" s="83">
        <f t="shared" si="16"/>
        <v>-48744.5892518939</v>
      </c>
      <c r="AJ18" s="83">
        <f t="shared" si="16"/>
        <v>-48744.5892518939</v>
      </c>
      <c r="AK18" s="83">
        <f t="shared" si="16"/>
        <v>-48744.5892518939</v>
      </c>
      <c r="AL18" s="83">
        <f t="shared" si="16"/>
        <v>-48744.5892518939</v>
      </c>
      <c r="AM18" s="83">
        <f t="shared" si="16"/>
        <v>-48744.5892518939</v>
      </c>
      <c r="AN18" s="83">
        <f t="shared" si="16"/>
        <v>-48744.5892518939</v>
      </c>
      <c r="AO18" s="83">
        <f t="shared" si="16"/>
        <v>-48744.5892518939</v>
      </c>
      <c r="AP18" s="83">
        <f t="shared" si="16"/>
        <v>-48947.6917071102</v>
      </c>
      <c r="AQ18" s="83">
        <f t="shared" si="16"/>
        <v>-48947.6917071102</v>
      </c>
      <c r="AR18" s="83">
        <f t="shared" si="16"/>
        <v>-48947.6917071102</v>
      </c>
      <c r="AS18" s="83">
        <f t="shared" si="16"/>
        <v>-48947.6917071102</v>
      </c>
      <c r="AT18" s="83">
        <f t="shared" si="16"/>
        <v>-48947.6917071102</v>
      </c>
      <c r="AU18" s="83">
        <f t="shared" si="16"/>
        <v>-48947.6917071102</v>
      </c>
      <c r="AV18" s="83">
        <f t="shared" si="16"/>
        <v>-48947.6917071102</v>
      </c>
      <c r="AW18" s="83">
        <f t="shared" si="16"/>
        <v>-48947.6917071102</v>
      </c>
      <c r="AX18" s="83">
        <f t="shared" si="16"/>
        <v>-48947.6917071102</v>
      </c>
      <c r="AY18" s="83">
        <f t="shared" ref="AY18:BA18" si="17">+(AY17)*-$A$18</f>
        <v>-48947.6917071102</v>
      </c>
      <c r="AZ18" s="83">
        <f t="shared" si="17"/>
        <v>-48947.6917071102</v>
      </c>
      <c r="BA18" s="83">
        <f t="shared" si="17"/>
        <v>-48947.6917071102</v>
      </c>
      <c r="BB18" s="83">
        <f t="shared" si="16"/>
        <v>-49151.6404225565</v>
      </c>
      <c r="BC18" s="83">
        <f t="shared" si="16"/>
        <v>-49151.6404225565</v>
      </c>
      <c r="BD18" s="69">
        <f>SUM(F18:BC18)</f>
        <v>-2148013.25888725</v>
      </c>
      <c r="BG18" s="83">
        <f>E18</f>
        <v>-0</v>
      </c>
      <c r="BH18" s="83">
        <f>SUM(F18:Q18)</f>
        <v>0</v>
      </c>
      <c r="BI18" s="83">
        <f>SUM(R18:AC18)</f>
        <v>0</v>
      </c>
      <c r="BJ18" s="84">
        <f>SUM(AD18:AO18)</f>
        <v>-1462337.67755682</v>
      </c>
      <c r="BK18" s="83">
        <f>SUM(AP18:BA18)</f>
        <v>-587372.300485322</v>
      </c>
      <c r="BL18" s="83">
        <f>SUM(BB18:BC18)</f>
        <v>-98303.2808451129</v>
      </c>
      <c r="BM18" s="83">
        <f>SUM(BH18:BL18)</f>
        <v>-2148013.25888725</v>
      </c>
    </row>
    <row r="19" spans="1:65" ht="14.5">
      <c r="A19" s="2" t="s">
        <v>2</v>
      </c>
      <c r="E19" s="128">
        <f>SUM(E17:E18)</f>
        <v>0</v>
      </c>
      <c r="F19" s="128">
        <f>SUM(F17:F18)</f>
        <v>0</v>
      </c>
      <c r="G19" s="128">
        <f t="shared" ref="G19:BC19" si="18">SUM(G17:G18)</f>
        <v>0</v>
      </c>
      <c r="H19" s="128">
        <f t="shared" si="18"/>
        <v>0</v>
      </c>
      <c r="I19" s="128">
        <f t="shared" si="18"/>
        <v>0</v>
      </c>
      <c r="J19" s="128">
        <f t="shared" si="18"/>
        <v>0</v>
      </c>
      <c r="K19" s="128">
        <f t="shared" si="18"/>
        <v>0</v>
      </c>
      <c r="L19" s="128">
        <f t="shared" si="18"/>
        <v>0</v>
      </c>
      <c r="M19" s="128">
        <f t="shared" si="18"/>
        <v>0</v>
      </c>
      <c r="N19" s="128">
        <f t="shared" si="18"/>
        <v>0</v>
      </c>
      <c r="O19" s="128">
        <f t="shared" si="18"/>
        <v>0</v>
      </c>
      <c r="P19" s="128">
        <f t="shared" si="18"/>
        <v>0</v>
      </c>
      <c r="Q19" s="128">
        <f t="shared" si="18"/>
        <v>0</v>
      </c>
      <c r="R19" s="128">
        <f t="shared" si="18"/>
        <v>0</v>
      </c>
      <c r="S19" s="128">
        <f t="shared" si="18"/>
        <v>0</v>
      </c>
      <c r="T19" s="128">
        <f t="shared" si="18"/>
        <v>0</v>
      </c>
      <c r="U19" s="128">
        <f t="shared" si="18"/>
        <v>0</v>
      </c>
      <c r="V19" s="128">
        <f t="shared" si="18"/>
        <v>0</v>
      </c>
      <c r="W19" s="128">
        <f t="shared" si="18"/>
        <v>0</v>
      </c>
      <c r="X19" s="128">
        <f t="shared" si="18"/>
        <v>0</v>
      </c>
      <c r="Y19" s="128">
        <f t="shared" si="18"/>
        <v>0</v>
      </c>
      <c r="Z19" s="128">
        <f t="shared" si="18"/>
        <v>0</v>
      </c>
      <c r="AA19" s="128">
        <f t="shared" si="18"/>
        <v>0</v>
      </c>
      <c r="AB19" s="128">
        <f t="shared" si="18"/>
        <v>0</v>
      </c>
      <c r="AC19" s="128">
        <f t="shared" si="18"/>
        <v>0</v>
      </c>
      <c r="AD19" s="128">
        <f t="shared" si="18"/>
        <v>14509639.4006471</v>
      </c>
      <c r="AE19" s="128">
        <f t="shared" si="18"/>
        <v>763665.231613005</v>
      </c>
      <c r="AF19" s="128">
        <f t="shared" si="18"/>
        <v>763665.231613005</v>
      </c>
      <c r="AG19" s="128">
        <f t="shared" si="18"/>
        <v>763665.231613005</v>
      </c>
      <c r="AH19" s="128">
        <f t="shared" si="18"/>
        <v>763665.231613005</v>
      </c>
      <c r="AI19" s="128">
        <f t="shared" si="18"/>
        <v>763665.231613005</v>
      </c>
      <c r="AJ19" s="128">
        <f t="shared" si="18"/>
        <v>763665.231613005</v>
      </c>
      <c r="AK19" s="128">
        <f t="shared" si="18"/>
        <v>763665.231613005</v>
      </c>
      <c r="AL19" s="128">
        <f t="shared" si="18"/>
        <v>763665.231613005</v>
      </c>
      <c r="AM19" s="128">
        <f t="shared" si="18"/>
        <v>763665.231613005</v>
      </c>
      <c r="AN19" s="128">
        <f t="shared" si="18"/>
        <v>763665.231613005</v>
      </c>
      <c r="AO19" s="128">
        <f t="shared" si="18"/>
        <v>763665.231613005</v>
      </c>
      <c r="AP19" s="128">
        <f t="shared" si="18"/>
        <v>766847.170078059</v>
      </c>
      <c r="AQ19" s="128">
        <f t="shared" si="18"/>
        <v>766847.170078059</v>
      </c>
      <c r="AR19" s="128">
        <f t="shared" si="18"/>
        <v>766847.170078059</v>
      </c>
      <c r="AS19" s="128">
        <f t="shared" si="18"/>
        <v>766847.170078059</v>
      </c>
      <c r="AT19" s="128">
        <f t="shared" si="18"/>
        <v>766847.170078059</v>
      </c>
      <c r="AU19" s="128">
        <f t="shared" si="18"/>
        <v>766847.170078059</v>
      </c>
      <c r="AV19" s="128">
        <f t="shared" si="18"/>
        <v>766847.170078059</v>
      </c>
      <c r="AW19" s="128">
        <f t="shared" si="18"/>
        <v>766847.170078059</v>
      </c>
      <c r="AX19" s="128">
        <f t="shared" si="18"/>
        <v>766847.170078059</v>
      </c>
      <c r="AY19" s="128">
        <f t="shared" ref="AY19:BA19" si="19">SUM(AY17:AY18)</f>
        <v>766847.170078059</v>
      </c>
      <c r="AZ19" s="128">
        <f t="shared" si="19"/>
        <v>766847.170078059</v>
      </c>
      <c r="BA19" s="128">
        <f t="shared" si="19"/>
        <v>766847.170078059</v>
      </c>
      <c r="BB19" s="128">
        <f t="shared" si="18"/>
        <v>770042.366620051</v>
      </c>
      <c r="BC19" s="128">
        <f t="shared" si="18"/>
        <v>770042.366620051</v>
      </c>
      <c r="BD19" s="128">
        <f>BD17+BD18</f>
        <v>33652207.722567</v>
      </c>
      <c r="BE19" s="83"/>
      <c r="BF19" s="83"/>
      <c r="BG19" s="128">
        <f t="shared" ref="BG19:BM19" si="20">+BG17+BG18</f>
        <v>0</v>
      </c>
      <c r="BH19" s="128">
        <f t="shared" si="20"/>
        <v>0</v>
      </c>
      <c r="BI19" s="128">
        <f t="shared" si="20"/>
        <v>0</v>
      </c>
      <c r="BJ19" s="128">
        <f t="shared" si="20"/>
        <v>22909956.9483902</v>
      </c>
      <c r="BK19" s="128">
        <f t="shared" si="20"/>
        <v>9202166.04093671</v>
      </c>
      <c r="BL19" s="128">
        <f t="shared" si="20"/>
        <v>1540084.7332401</v>
      </c>
      <c r="BM19" s="128">
        <f t="shared" si="20"/>
        <v>33652207.722567</v>
      </c>
    </row>
    <row r="20" spans="1:65">
      <c r="E20" s="64"/>
      <c r="F20" s="64"/>
      <c r="G20" s="64"/>
      <c r="H20" s="64"/>
      <c r="I20" s="64"/>
      <c r="J20" s="64"/>
      <c r="K20" s="64"/>
      <c r="L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67"/>
      <c r="BI20" s="64"/>
      <c r="BK20" s="64"/>
      <c r="BL20" s="64"/>
      <c r="BM20" s="64"/>
    </row>
    <row r="21" spans="1:65">
      <c r="A21" s="13" t="s">
        <v>31</v>
      </c>
      <c r="E21" s="64"/>
      <c r="F21" s="66"/>
      <c r="G21" s="64"/>
      <c r="H21" s="64"/>
      <c r="I21" s="64"/>
      <c r="J21" s="64"/>
      <c r="K21" s="64"/>
      <c r="L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7"/>
      <c r="BI21" s="64"/>
      <c r="BK21" s="64"/>
      <c r="BL21" s="64"/>
      <c r="BM21" s="64"/>
    </row>
    <row r="22" spans="1:65">
      <c r="A22" s="1" t="s">
        <v>348</v>
      </c>
      <c r="E22" s="398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398">
        <v>0</v>
      </c>
      <c r="S22" s="64">
        <v>0</v>
      </c>
      <c r="T22" s="64">
        <v>0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  <c r="AA22" s="64">
        <v>0</v>
      </c>
      <c r="AB22" s="64">
        <v>0</v>
      </c>
      <c r="AC22" s="64">
        <v>0</v>
      </c>
      <c r="AD22" s="64">
        <v>0</v>
      </c>
      <c r="AE22" s="64">
        <v>0</v>
      </c>
      <c r="AF22" s="64">
        <v>0</v>
      </c>
      <c r="AG22" s="64">
        <v>0</v>
      </c>
      <c r="AH22" s="64">
        <v>0</v>
      </c>
      <c r="AI22" s="64">
        <v>0</v>
      </c>
      <c r="AJ22" s="64">
        <v>0</v>
      </c>
      <c r="AK22" s="64">
        <v>0</v>
      </c>
      <c r="AL22" s="64">
        <v>0</v>
      </c>
      <c r="AM22" s="64">
        <v>0</v>
      </c>
      <c r="AN22" s="64">
        <v>0</v>
      </c>
      <c r="AO22" s="64">
        <v>0</v>
      </c>
      <c r="AP22" s="64">
        <v>0</v>
      </c>
      <c r="AQ22" s="64">
        <v>0</v>
      </c>
      <c r="AR22" s="64">
        <v>0</v>
      </c>
      <c r="AS22" s="64">
        <v>0</v>
      </c>
      <c r="AT22" s="64">
        <v>0</v>
      </c>
      <c r="AU22" s="64">
        <v>0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0</v>
      </c>
      <c r="BB22" s="64">
        <v>0</v>
      </c>
      <c r="BC22" s="64">
        <v>0</v>
      </c>
      <c r="BD22" s="67">
        <f>SUM(E22:BC22)</f>
        <v>0</v>
      </c>
      <c r="BI22" s="64"/>
      <c r="BK22" s="64"/>
      <c r="BL22" s="64"/>
      <c r="BM22" s="64"/>
    </row>
    <row r="23" spans="1:65">
      <c r="A23" s="99">
        <v>0.04</v>
      </c>
      <c r="E23" s="64">
        <f>$A$23*E22</f>
        <v>0</v>
      </c>
      <c r="F23" s="64">
        <f t="shared" ref="F23:BC23" si="21">$A$23*F22</f>
        <v>0</v>
      </c>
      <c r="G23" s="64">
        <f t="shared" si="21"/>
        <v>0</v>
      </c>
      <c r="H23" s="64">
        <f t="shared" si="21"/>
        <v>0</v>
      </c>
      <c r="I23" s="64">
        <f t="shared" si="21"/>
        <v>0</v>
      </c>
      <c r="J23" s="64">
        <f t="shared" si="21"/>
        <v>0</v>
      </c>
      <c r="K23" s="64">
        <f t="shared" si="21"/>
        <v>0</v>
      </c>
      <c r="L23" s="64">
        <f t="shared" si="21"/>
        <v>0</v>
      </c>
      <c r="M23" s="64">
        <f t="shared" si="21"/>
        <v>0</v>
      </c>
      <c r="N23" s="64">
        <f t="shared" si="21"/>
        <v>0</v>
      </c>
      <c r="O23" s="64">
        <f t="shared" si="21"/>
        <v>0</v>
      </c>
      <c r="P23" s="64">
        <f t="shared" si="21"/>
        <v>0</v>
      </c>
      <c r="Q23" s="64">
        <f t="shared" si="21"/>
        <v>0</v>
      </c>
      <c r="R23" s="64">
        <f t="shared" si="21"/>
        <v>0</v>
      </c>
      <c r="S23" s="64">
        <f t="shared" si="21"/>
        <v>0</v>
      </c>
      <c r="T23" s="64">
        <f t="shared" si="21"/>
        <v>0</v>
      </c>
      <c r="U23" s="64">
        <f t="shared" si="21"/>
        <v>0</v>
      </c>
      <c r="V23" s="64">
        <f t="shared" si="21"/>
        <v>0</v>
      </c>
      <c r="W23" s="64">
        <f t="shared" si="21"/>
        <v>0</v>
      </c>
      <c r="X23" s="64">
        <f t="shared" si="21"/>
        <v>0</v>
      </c>
      <c r="Y23" s="64">
        <f t="shared" si="21"/>
        <v>0</v>
      </c>
      <c r="Z23" s="64">
        <f t="shared" si="21"/>
        <v>0</v>
      </c>
      <c r="AA23" s="64">
        <f t="shared" si="21"/>
        <v>0</v>
      </c>
      <c r="AB23" s="64">
        <f t="shared" si="21"/>
        <v>0</v>
      </c>
      <c r="AC23" s="64">
        <f t="shared" si="21"/>
        <v>0</v>
      </c>
      <c r="AD23" s="64">
        <f t="shared" si="21"/>
        <v>0</v>
      </c>
      <c r="AE23" s="64">
        <f t="shared" si="21"/>
        <v>0</v>
      </c>
      <c r="AF23" s="64">
        <f t="shared" si="21"/>
        <v>0</v>
      </c>
      <c r="AG23" s="64">
        <f t="shared" si="21"/>
        <v>0</v>
      </c>
      <c r="AH23" s="64">
        <f t="shared" si="21"/>
        <v>0</v>
      </c>
      <c r="AI23" s="64">
        <f t="shared" si="21"/>
        <v>0</v>
      </c>
      <c r="AJ23" s="64">
        <f t="shared" si="21"/>
        <v>0</v>
      </c>
      <c r="AK23" s="64">
        <f t="shared" si="21"/>
        <v>0</v>
      </c>
      <c r="AL23" s="64">
        <f t="shared" si="21"/>
        <v>0</v>
      </c>
      <c r="AM23" s="64">
        <f t="shared" si="21"/>
        <v>0</v>
      </c>
      <c r="AN23" s="64">
        <f t="shared" si="21"/>
        <v>0</v>
      </c>
      <c r="AO23" s="64">
        <f t="shared" si="21"/>
        <v>0</v>
      </c>
      <c r="AP23" s="64">
        <f t="shared" si="21"/>
        <v>0</v>
      </c>
      <c r="AQ23" s="64">
        <f t="shared" si="21"/>
        <v>0</v>
      </c>
      <c r="AR23" s="64">
        <f t="shared" si="21"/>
        <v>0</v>
      </c>
      <c r="AS23" s="64">
        <f t="shared" si="21"/>
        <v>0</v>
      </c>
      <c r="AT23" s="64">
        <f t="shared" si="21"/>
        <v>0</v>
      </c>
      <c r="AU23" s="64">
        <f t="shared" si="21"/>
        <v>0</v>
      </c>
      <c r="AV23" s="64">
        <f t="shared" si="21"/>
        <v>0</v>
      </c>
      <c r="AW23" s="64">
        <f t="shared" si="21"/>
        <v>0</v>
      </c>
      <c r="AX23" s="64">
        <f t="shared" si="21"/>
        <v>0</v>
      </c>
      <c r="AY23" s="64">
        <f t="shared" si="21"/>
        <v>0</v>
      </c>
      <c r="AZ23" s="64">
        <f t="shared" si="21"/>
        <v>0</v>
      </c>
      <c r="BA23" s="64">
        <f t="shared" si="21"/>
        <v>0</v>
      </c>
      <c r="BB23" s="64">
        <f t="shared" si="21"/>
        <v>0</v>
      </c>
      <c r="BC23" s="64">
        <f t="shared" si="21"/>
        <v>0</v>
      </c>
      <c r="BD23" s="67">
        <f>SUM(E23:BC23)</f>
        <v>0</v>
      </c>
      <c r="BI23" s="64"/>
      <c r="BK23" s="64"/>
      <c r="BL23" s="64"/>
      <c r="BM23" s="64"/>
    </row>
    <row r="24" spans="1:65">
      <c r="A24" s="397">
        <v>0.03</v>
      </c>
      <c r="E24" s="64">
        <f>E22*$A$24</f>
        <v>0</v>
      </c>
      <c r="F24" s="64">
        <f t="shared" ref="F24:BC24" si="22">F22*$A$24</f>
        <v>0</v>
      </c>
      <c r="G24" s="64">
        <f t="shared" si="22"/>
        <v>0</v>
      </c>
      <c r="H24" s="64">
        <f t="shared" si="22"/>
        <v>0</v>
      </c>
      <c r="I24" s="64">
        <f t="shared" si="22"/>
        <v>0</v>
      </c>
      <c r="J24" s="64">
        <f t="shared" si="22"/>
        <v>0</v>
      </c>
      <c r="K24" s="64">
        <f t="shared" si="22"/>
        <v>0</v>
      </c>
      <c r="L24" s="64">
        <f t="shared" si="22"/>
        <v>0</v>
      </c>
      <c r="M24" s="64">
        <f t="shared" si="22"/>
        <v>0</v>
      </c>
      <c r="N24" s="64">
        <f t="shared" si="22"/>
        <v>0</v>
      </c>
      <c r="O24" s="64">
        <f t="shared" si="22"/>
        <v>0</v>
      </c>
      <c r="P24" s="64">
        <f t="shared" si="22"/>
        <v>0</v>
      </c>
      <c r="Q24" s="64">
        <f t="shared" si="22"/>
        <v>0</v>
      </c>
      <c r="R24" s="64">
        <f t="shared" si="22"/>
        <v>0</v>
      </c>
      <c r="S24" s="64">
        <f t="shared" si="22"/>
        <v>0</v>
      </c>
      <c r="T24" s="64">
        <f t="shared" si="22"/>
        <v>0</v>
      </c>
      <c r="U24" s="64">
        <f t="shared" si="22"/>
        <v>0</v>
      </c>
      <c r="V24" s="64">
        <f t="shared" si="22"/>
        <v>0</v>
      </c>
      <c r="W24" s="64">
        <f t="shared" si="22"/>
        <v>0</v>
      </c>
      <c r="X24" s="64">
        <f t="shared" si="22"/>
        <v>0</v>
      </c>
      <c r="Y24" s="64">
        <f t="shared" si="22"/>
        <v>0</v>
      </c>
      <c r="Z24" s="64">
        <f t="shared" si="22"/>
        <v>0</v>
      </c>
      <c r="AA24" s="64">
        <f t="shared" si="22"/>
        <v>0</v>
      </c>
      <c r="AB24" s="64">
        <f t="shared" si="22"/>
        <v>0</v>
      </c>
      <c r="AC24" s="64">
        <f t="shared" si="22"/>
        <v>0</v>
      </c>
      <c r="AD24" s="64">
        <f t="shared" si="22"/>
        <v>0</v>
      </c>
      <c r="AE24" s="64">
        <f t="shared" si="22"/>
        <v>0</v>
      </c>
      <c r="AF24" s="64">
        <f t="shared" si="22"/>
        <v>0</v>
      </c>
      <c r="AG24" s="64">
        <f t="shared" si="22"/>
        <v>0</v>
      </c>
      <c r="AH24" s="64">
        <f t="shared" si="22"/>
        <v>0</v>
      </c>
      <c r="AI24" s="64">
        <f t="shared" si="22"/>
        <v>0</v>
      </c>
      <c r="AJ24" s="64">
        <f t="shared" si="22"/>
        <v>0</v>
      </c>
      <c r="AK24" s="64">
        <f t="shared" si="22"/>
        <v>0</v>
      </c>
      <c r="AL24" s="64">
        <f t="shared" si="22"/>
        <v>0</v>
      </c>
      <c r="AM24" s="64">
        <f t="shared" si="22"/>
        <v>0</v>
      </c>
      <c r="AN24" s="64">
        <f t="shared" si="22"/>
        <v>0</v>
      </c>
      <c r="AO24" s="64">
        <f t="shared" si="22"/>
        <v>0</v>
      </c>
      <c r="AP24" s="64">
        <f t="shared" si="22"/>
        <v>0</v>
      </c>
      <c r="AQ24" s="64">
        <f t="shared" si="22"/>
        <v>0</v>
      </c>
      <c r="AR24" s="64">
        <f t="shared" si="22"/>
        <v>0</v>
      </c>
      <c r="AS24" s="64">
        <f t="shared" si="22"/>
        <v>0</v>
      </c>
      <c r="AT24" s="64">
        <f t="shared" si="22"/>
        <v>0</v>
      </c>
      <c r="AU24" s="64">
        <f t="shared" si="22"/>
        <v>0</v>
      </c>
      <c r="AV24" s="64">
        <f t="shared" si="22"/>
        <v>0</v>
      </c>
      <c r="AW24" s="64">
        <f t="shared" si="22"/>
        <v>0</v>
      </c>
      <c r="AX24" s="64">
        <f t="shared" si="22"/>
        <v>0</v>
      </c>
      <c r="AY24" s="64">
        <f t="shared" si="22"/>
        <v>0</v>
      </c>
      <c r="AZ24" s="64">
        <f t="shared" si="22"/>
        <v>0</v>
      </c>
      <c r="BA24" s="64">
        <f t="shared" si="22"/>
        <v>0</v>
      </c>
      <c r="BB24" s="64">
        <f t="shared" si="22"/>
        <v>0</v>
      </c>
      <c r="BC24" s="64">
        <f t="shared" si="22"/>
        <v>0</v>
      </c>
      <c r="BD24" s="67">
        <f>SUM(E24:BC24)</f>
        <v>0</v>
      </c>
      <c r="BI24" s="64"/>
      <c r="BK24" s="64"/>
      <c r="BL24" s="64"/>
      <c r="BM24" s="64"/>
    </row>
    <row r="25" spans="1:65">
      <c r="A25" s="348" t="s">
        <v>308</v>
      </c>
      <c r="B25" s="115"/>
      <c r="C25" s="115"/>
      <c r="E25" s="66">
        <v>0</v>
      </c>
      <c r="F25" s="66">
        <f t="shared" ref="F25:AO25" si="23">600000/36</f>
        <v>16666.6666666667</v>
      </c>
      <c r="G25" s="66">
        <f t="shared" si="23"/>
        <v>16666.6666666667</v>
      </c>
      <c r="H25" s="66">
        <f t="shared" si="23"/>
        <v>16666.6666666667</v>
      </c>
      <c r="I25" s="66">
        <f t="shared" si="23"/>
        <v>16666.6666666667</v>
      </c>
      <c r="J25" s="66">
        <f t="shared" si="23"/>
        <v>16666.6666666667</v>
      </c>
      <c r="K25" s="66">
        <f t="shared" si="23"/>
        <v>16666.6666666667</v>
      </c>
      <c r="L25" s="66">
        <f t="shared" si="23"/>
        <v>16666.6666666667</v>
      </c>
      <c r="M25" s="66">
        <f t="shared" si="23"/>
        <v>16666.6666666667</v>
      </c>
      <c r="N25" s="66">
        <f t="shared" si="23"/>
        <v>16666.6666666667</v>
      </c>
      <c r="O25" s="66">
        <f t="shared" si="23"/>
        <v>16666.6666666667</v>
      </c>
      <c r="P25" s="66">
        <f t="shared" si="23"/>
        <v>16666.6666666667</v>
      </c>
      <c r="Q25" s="66">
        <f t="shared" si="23"/>
        <v>16666.6666666667</v>
      </c>
      <c r="R25" s="66">
        <f t="shared" si="23"/>
        <v>16666.6666666667</v>
      </c>
      <c r="S25" s="66">
        <f t="shared" si="23"/>
        <v>16666.6666666667</v>
      </c>
      <c r="T25" s="66">
        <f t="shared" si="23"/>
        <v>16666.6666666667</v>
      </c>
      <c r="U25" s="66">
        <f t="shared" si="23"/>
        <v>16666.6666666667</v>
      </c>
      <c r="V25" s="66">
        <f t="shared" si="23"/>
        <v>16666.6666666667</v>
      </c>
      <c r="W25" s="66">
        <f t="shared" si="23"/>
        <v>16666.6666666667</v>
      </c>
      <c r="X25" s="66">
        <f t="shared" si="23"/>
        <v>16666.6666666667</v>
      </c>
      <c r="Y25" s="66">
        <f t="shared" si="23"/>
        <v>16666.6666666667</v>
      </c>
      <c r="Z25" s="66">
        <f t="shared" si="23"/>
        <v>16666.6666666667</v>
      </c>
      <c r="AA25" s="66">
        <f t="shared" si="23"/>
        <v>16666.6666666667</v>
      </c>
      <c r="AB25" s="66">
        <f t="shared" si="23"/>
        <v>16666.6666666667</v>
      </c>
      <c r="AC25" s="66">
        <f t="shared" si="23"/>
        <v>16666.6666666667</v>
      </c>
      <c r="AD25" s="66">
        <f t="shared" si="23"/>
        <v>16666.6666666667</v>
      </c>
      <c r="AE25" s="66">
        <f t="shared" si="23"/>
        <v>16666.6666666667</v>
      </c>
      <c r="AF25" s="66">
        <f t="shared" si="23"/>
        <v>16666.6666666667</v>
      </c>
      <c r="AG25" s="66">
        <f t="shared" si="23"/>
        <v>16666.6666666667</v>
      </c>
      <c r="AH25" s="66">
        <f t="shared" si="23"/>
        <v>16666.6666666667</v>
      </c>
      <c r="AI25" s="66">
        <f t="shared" si="23"/>
        <v>16666.6666666667</v>
      </c>
      <c r="AJ25" s="66">
        <f t="shared" si="23"/>
        <v>16666.6666666667</v>
      </c>
      <c r="AK25" s="66">
        <f t="shared" si="23"/>
        <v>16666.6666666667</v>
      </c>
      <c r="AL25" s="66">
        <f t="shared" si="23"/>
        <v>16666.6666666667</v>
      </c>
      <c r="AM25" s="66">
        <f t="shared" si="23"/>
        <v>16666.6666666667</v>
      </c>
      <c r="AN25" s="66">
        <f t="shared" si="23"/>
        <v>16666.6666666667</v>
      </c>
      <c r="AO25" s="66">
        <f t="shared" si="23"/>
        <v>16666.6666666667</v>
      </c>
      <c r="AP25" s="66">
        <v>0</v>
      </c>
      <c r="AQ25" s="66">
        <v>0</v>
      </c>
      <c r="AR25" s="66">
        <v>0</v>
      </c>
      <c r="AS25" s="66">
        <v>0</v>
      </c>
      <c r="AT25" s="66">
        <v>0</v>
      </c>
      <c r="AU25" s="66">
        <v>0</v>
      </c>
      <c r="AV25" s="66">
        <v>0</v>
      </c>
      <c r="AW25" s="66">
        <v>0</v>
      </c>
      <c r="AX25" s="66">
        <v>0</v>
      </c>
      <c r="AY25" s="66">
        <v>0</v>
      </c>
      <c r="AZ25" s="66">
        <v>0</v>
      </c>
      <c r="BA25" s="66">
        <v>0</v>
      </c>
      <c r="BB25" s="66">
        <v>0</v>
      </c>
      <c r="BC25" s="66">
        <v>0</v>
      </c>
      <c r="BD25" s="67">
        <f>SUM(E25:BC25)</f>
        <v>600000</v>
      </c>
      <c r="BG25" s="64">
        <f>E25</f>
        <v>0</v>
      </c>
      <c r="BH25" s="64">
        <f>SUM(F25:Q25)</f>
        <v>200000</v>
      </c>
      <c r="BI25" s="64">
        <f>SUM(R25:AC25)</f>
        <v>200000</v>
      </c>
      <c r="BJ25" s="64">
        <f>SUM(AD25:AO25)</f>
        <v>200000</v>
      </c>
      <c r="BK25" s="64">
        <f>SUM(AP25:BA25)</f>
        <v>0</v>
      </c>
      <c r="BL25" s="64">
        <f>SUM(BB25:BC25)</f>
        <v>0</v>
      </c>
      <c r="BM25" s="64">
        <f>SUM(BG25:BL25)</f>
        <v>600000</v>
      </c>
    </row>
    <row r="26" spans="1:65">
      <c r="A26" s="99" t="s">
        <v>84</v>
      </c>
      <c r="B26" s="115"/>
      <c r="C26" s="115"/>
      <c r="E26" s="64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7"/>
      <c r="BG26" s="64"/>
      <c r="BH26" s="64"/>
      <c r="BI26" s="64"/>
      <c r="BJ26" s="64"/>
      <c r="BK26" s="64"/>
      <c r="BL26" s="64"/>
      <c r="BM26" s="64"/>
    </row>
    <row r="27" spans="1:65">
      <c r="A27" s="100" t="s">
        <v>85</v>
      </c>
      <c r="E27" s="64">
        <v>0</v>
      </c>
      <c r="F27" s="66">
        <f>'Entitlement Gantt Chart'!F43</f>
        <v>10000</v>
      </c>
      <c r="G27" s="66">
        <f>'Entitlement Gantt Chart'!G43</f>
        <v>0</v>
      </c>
      <c r="H27" s="66">
        <f>'Entitlement Gantt Chart'!H43</f>
        <v>0</v>
      </c>
      <c r="I27" s="66">
        <f>'Entitlement Gantt Chart'!I43</f>
        <v>0</v>
      </c>
      <c r="J27" s="66">
        <f>'Entitlement Gantt Chart'!J43</f>
        <v>0</v>
      </c>
      <c r="K27" s="66">
        <f>'Entitlement Gantt Chart'!K43</f>
        <v>0</v>
      </c>
      <c r="L27" s="66">
        <f>'Entitlement Gantt Chart'!L43</f>
        <v>0</v>
      </c>
      <c r="M27" s="66">
        <f>'Entitlement Gantt Chart'!M43</f>
        <v>0</v>
      </c>
      <c r="N27" s="66">
        <f>'Entitlement Gantt Chart'!N43</f>
        <v>0</v>
      </c>
      <c r="O27" s="66">
        <f>'Entitlement Gantt Chart'!O43</f>
        <v>0</v>
      </c>
      <c r="P27" s="66">
        <f>'Entitlement Gantt Chart'!P43</f>
        <v>0</v>
      </c>
      <c r="Q27" s="66">
        <f>'Entitlement Gantt Chart'!Q43</f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66">
        <v>0</v>
      </c>
      <c r="AA27" s="66">
        <v>0</v>
      </c>
      <c r="AB27" s="66">
        <v>0</v>
      </c>
      <c r="AC27" s="66">
        <v>0</v>
      </c>
      <c r="AD27" s="66">
        <v>0</v>
      </c>
      <c r="AE27" s="66">
        <v>0</v>
      </c>
      <c r="AF27" s="66">
        <v>0</v>
      </c>
      <c r="AG27" s="66">
        <v>0</v>
      </c>
      <c r="AH27" s="66">
        <v>0</v>
      </c>
      <c r="AI27" s="66">
        <v>0</v>
      </c>
      <c r="AJ27" s="66">
        <v>0</v>
      </c>
      <c r="AK27" s="66">
        <v>0</v>
      </c>
      <c r="AL27" s="66">
        <v>0</v>
      </c>
      <c r="AM27" s="66">
        <v>0</v>
      </c>
      <c r="AN27" s="66">
        <v>0</v>
      </c>
      <c r="AO27" s="66">
        <v>0</v>
      </c>
      <c r="AP27" s="66">
        <v>0</v>
      </c>
      <c r="AQ27" s="66">
        <v>0</v>
      </c>
      <c r="AR27" s="66">
        <v>0</v>
      </c>
      <c r="AS27" s="66">
        <v>0</v>
      </c>
      <c r="AT27" s="66">
        <v>0</v>
      </c>
      <c r="AU27" s="66">
        <v>0</v>
      </c>
      <c r="AV27" s="66">
        <v>0</v>
      </c>
      <c r="AW27" s="66">
        <v>0</v>
      </c>
      <c r="AX27" s="66">
        <v>0</v>
      </c>
      <c r="AY27" s="66">
        <v>0</v>
      </c>
      <c r="AZ27" s="66">
        <v>0</v>
      </c>
      <c r="BA27" s="66">
        <v>0</v>
      </c>
      <c r="BB27" s="66">
        <v>0</v>
      </c>
      <c r="BC27" s="66">
        <v>0</v>
      </c>
      <c r="BD27" s="67">
        <f t="shared" ref="BD27:BD50" si="24">SUM(E27:BC27)</f>
        <v>10000</v>
      </c>
      <c r="BG27" s="64">
        <f t="shared" ref="BG27:BG50" si="25">E27</f>
        <v>0</v>
      </c>
      <c r="BH27" s="64">
        <f t="shared" ref="BH27:BH50" si="26">SUM(F27:Q27)</f>
        <v>10000</v>
      </c>
      <c r="BI27" s="64">
        <f t="shared" ref="BI27:BI50" si="27">SUM(R27:AC27)</f>
        <v>0</v>
      </c>
      <c r="BJ27" s="64">
        <f t="shared" ref="BJ27:BJ50" si="28">SUM(AD27:AO27)</f>
        <v>0</v>
      </c>
      <c r="BK27" s="64">
        <f t="shared" ref="BK27:BK79" si="29">SUM(AP27:BA27)</f>
        <v>0</v>
      </c>
      <c r="BL27" s="64">
        <f t="shared" ref="BL27:BL50" si="30">SUM(BB27:BC27)</f>
        <v>0</v>
      </c>
      <c r="BM27" s="64">
        <f t="shared" ref="BM27:BM50" si="31">SUM(BG27:BL27)</f>
        <v>10000</v>
      </c>
    </row>
    <row r="28" spans="1:65">
      <c r="A28" s="134" t="s">
        <v>86</v>
      </c>
      <c r="E28" s="64">
        <v>0</v>
      </c>
      <c r="F28" s="66">
        <f>'Entitlement Gantt Chart'!F44</f>
        <v>35000</v>
      </c>
      <c r="G28" s="66">
        <f>'Entitlement Gantt Chart'!G44</f>
        <v>0</v>
      </c>
      <c r="H28" s="66">
        <f>'Entitlement Gantt Chart'!H44</f>
        <v>0</v>
      </c>
      <c r="I28" s="66">
        <f>'Entitlement Gantt Chart'!I44</f>
        <v>0</v>
      </c>
      <c r="J28" s="66">
        <f>'Entitlement Gantt Chart'!J44</f>
        <v>0</v>
      </c>
      <c r="K28" s="66">
        <f>'Entitlement Gantt Chart'!K44</f>
        <v>0</v>
      </c>
      <c r="L28" s="66">
        <f>'Entitlement Gantt Chart'!L44</f>
        <v>0</v>
      </c>
      <c r="M28" s="66">
        <f>'Entitlement Gantt Chart'!M44</f>
        <v>0</v>
      </c>
      <c r="N28" s="66">
        <f>'Entitlement Gantt Chart'!N44</f>
        <v>0</v>
      </c>
      <c r="O28" s="66">
        <f>'Entitlement Gantt Chart'!O44</f>
        <v>0</v>
      </c>
      <c r="P28" s="66">
        <f>'Entitlement Gantt Chart'!P44</f>
        <v>0</v>
      </c>
      <c r="Q28" s="66">
        <f>'Entitlement Gantt Chart'!Q44</f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  <c r="AC28" s="66">
        <v>0</v>
      </c>
      <c r="AD28" s="66">
        <v>0</v>
      </c>
      <c r="AE28" s="66">
        <v>0</v>
      </c>
      <c r="AF28" s="66">
        <v>0</v>
      </c>
      <c r="AG28" s="66">
        <v>0</v>
      </c>
      <c r="AH28" s="66">
        <v>0</v>
      </c>
      <c r="AI28" s="66">
        <v>0</v>
      </c>
      <c r="AJ28" s="66">
        <v>0</v>
      </c>
      <c r="AK28" s="66">
        <v>0</v>
      </c>
      <c r="AL28" s="66">
        <v>0</v>
      </c>
      <c r="AM28" s="66">
        <v>0</v>
      </c>
      <c r="AN28" s="66">
        <v>0</v>
      </c>
      <c r="AO28" s="66">
        <v>0</v>
      </c>
      <c r="AP28" s="66">
        <v>0</v>
      </c>
      <c r="AQ28" s="66">
        <v>0</v>
      </c>
      <c r="AR28" s="66">
        <v>0</v>
      </c>
      <c r="AS28" s="66">
        <v>0</v>
      </c>
      <c r="AT28" s="66">
        <v>0</v>
      </c>
      <c r="AU28" s="66">
        <v>0</v>
      </c>
      <c r="AV28" s="66">
        <v>0</v>
      </c>
      <c r="AW28" s="66">
        <v>0</v>
      </c>
      <c r="AX28" s="66">
        <v>0</v>
      </c>
      <c r="AY28" s="66">
        <v>0</v>
      </c>
      <c r="AZ28" s="66">
        <v>0</v>
      </c>
      <c r="BA28" s="66">
        <v>0</v>
      </c>
      <c r="BB28" s="66">
        <v>0</v>
      </c>
      <c r="BC28" s="66">
        <v>0</v>
      </c>
      <c r="BD28" s="67">
        <f t="shared" si="24"/>
        <v>35000</v>
      </c>
      <c r="BG28" s="64">
        <f t="shared" si="25"/>
        <v>0</v>
      </c>
      <c r="BH28" s="64">
        <f t="shared" si="26"/>
        <v>35000</v>
      </c>
      <c r="BI28" s="64">
        <f t="shared" si="27"/>
        <v>0</v>
      </c>
      <c r="BJ28" s="64">
        <f t="shared" si="28"/>
        <v>0</v>
      </c>
      <c r="BK28" s="64">
        <f t="shared" si="29"/>
        <v>0</v>
      </c>
      <c r="BL28" s="64">
        <f t="shared" si="30"/>
        <v>0</v>
      </c>
      <c r="BM28" s="64">
        <f t="shared" si="31"/>
        <v>35000</v>
      </c>
    </row>
    <row r="29" spans="1:65">
      <c r="A29" s="134" t="s">
        <v>87</v>
      </c>
      <c r="E29" s="64">
        <v>0</v>
      </c>
      <c r="F29" s="66">
        <f>'Entitlement Gantt Chart'!F45</f>
        <v>80000</v>
      </c>
      <c r="G29" s="66">
        <f>'Entitlement Gantt Chart'!G45</f>
        <v>0</v>
      </c>
      <c r="H29" s="66">
        <f>'Entitlement Gantt Chart'!H45</f>
        <v>0</v>
      </c>
      <c r="I29" s="66">
        <f>'Entitlement Gantt Chart'!I45</f>
        <v>0</v>
      </c>
      <c r="J29" s="66">
        <f>'Entitlement Gantt Chart'!J45</f>
        <v>0</v>
      </c>
      <c r="K29" s="66">
        <f>'Entitlement Gantt Chart'!K45</f>
        <v>0</v>
      </c>
      <c r="L29" s="66">
        <f>'Entitlement Gantt Chart'!L45</f>
        <v>0</v>
      </c>
      <c r="M29" s="66">
        <f>'Entitlement Gantt Chart'!M45</f>
        <v>0</v>
      </c>
      <c r="N29" s="66">
        <f>'Entitlement Gantt Chart'!N45</f>
        <v>0</v>
      </c>
      <c r="O29" s="66">
        <f>'Entitlement Gantt Chart'!O45</f>
        <v>0</v>
      </c>
      <c r="P29" s="66">
        <f>'Entitlement Gantt Chart'!P45</f>
        <v>0</v>
      </c>
      <c r="Q29" s="66">
        <f>'Entitlement Gantt Chart'!Q45</f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  <c r="AC29" s="66">
        <v>0</v>
      </c>
      <c r="AD29" s="66">
        <v>0</v>
      </c>
      <c r="AE29" s="66">
        <v>0</v>
      </c>
      <c r="AF29" s="66">
        <v>0</v>
      </c>
      <c r="AG29" s="66">
        <v>0</v>
      </c>
      <c r="AH29" s="66">
        <v>0</v>
      </c>
      <c r="AI29" s="66">
        <v>0</v>
      </c>
      <c r="AJ29" s="66">
        <v>0</v>
      </c>
      <c r="AK29" s="66">
        <v>0</v>
      </c>
      <c r="AL29" s="66">
        <v>0</v>
      </c>
      <c r="AM29" s="66">
        <v>0</v>
      </c>
      <c r="AN29" s="66">
        <v>0</v>
      </c>
      <c r="AO29" s="66">
        <v>0</v>
      </c>
      <c r="AP29" s="66">
        <v>0</v>
      </c>
      <c r="AQ29" s="66">
        <v>0</v>
      </c>
      <c r="AR29" s="66">
        <v>0</v>
      </c>
      <c r="AS29" s="66">
        <v>0</v>
      </c>
      <c r="AT29" s="66">
        <v>0</v>
      </c>
      <c r="AU29" s="66">
        <v>0</v>
      </c>
      <c r="AV29" s="66">
        <v>0</v>
      </c>
      <c r="AW29" s="66">
        <v>0</v>
      </c>
      <c r="AX29" s="66">
        <v>0</v>
      </c>
      <c r="AY29" s="66">
        <v>0</v>
      </c>
      <c r="AZ29" s="66">
        <v>0</v>
      </c>
      <c r="BA29" s="66">
        <v>0</v>
      </c>
      <c r="BB29" s="66">
        <v>0</v>
      </c>
      <c r="BC29" s="66">
        <v>0</v>
      </c>
      <c r="BD29" s="67">
        <f t="shared" si="24"/>
        <v>80000</v>
      </c>
      <c r="BG29" s="64">
        <f t="shared" si="25"/>
        <v>0</v>
      </c>
      <c r="BH29" s="64">
        <f t="shared" si="26"/>
        <v>80000</v>
      </c>
      <c r="BI29" s="64">
        <f t="shared" si="27"/>
        <v>0</v>
      </c>
      <c r="BJ29" s="64">
        <f t="shared" si="28"/>
        <v>0</v>
      </c>
      <c r="BK29" s="64">
        <f t="shared" si="29"/>
        <v>0</v>
      </c>
      <c r="BL29" s="64">
        <f t="shared" si="30"/>
        <v>0</v>
      </c>
      <c r="BM29" s="64">
        <f t="shared" si="31"/>
        <v>80000</v>
      </c>
    </row>
    <row r="30" spans="1:65">
      <c r="A30" s="134" t="s">
        <v>88</v>
      </c>
      <c r="E30" s="64">
        <v>0</v>
      </c>
      <c r="F30" s="66">
        <f>'Entitlement Gantt Chart'!F46</f>
        <v>100000</v>
      </c>
      <c r="G30" s="66">
        <f>'Entitlement Gantt Chart'!G46</f>
        <v>0</v>
      </c>
      <c r="H30" s="66">
        <f>'Entitlement Gantt Chart'!H46</f>
        <v>0</v>
      </c>
      <c r="I30" s="66">
        <f>'Entitlement Gantt Chart'!I46</f>
        <v>0</v>
      </c>
      <c r="J30" s="66">
        <f>'Entitlement Gantt Chart'!J46</f>
        <v>0</v>
      </c>
      <c r="K30" s="66">
        <f>'Entitlement Gantt Chart'!K46</f>
        <v>0</v>
      </c>
      <c r="L30" s="66">
        <f>'Entitlement Gantt Chart'!L46</f>
        <v>0</v>
      </c>
      <c r="M30" s="66">
        <f>'Entitlement Gantt Chart'!M46</f>
        <v>0</v>
      </c>
      <c r="N30" s="66">
        <f>'Entitlement Gantt Chart'!N46</f>
        <v>0</v>
      </c>
      <c r="O30" s="66">
        <f>'Entitlement Gantt Chart'!O46</f>
        <v>0</v>
      </c>
      <c r="P30" s="66">
        <f>'Entitlement Gantt Chart'!P46</f>
        <v>0</v>
      </c>
      <c r="Q30" s="66">
        <f>'Entitlement Gantt Chart'!Q46</f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0</v>
      </c>
      <c r="AA30" s="66">
        <v>0</v>
      </c>
      <c r="AB30" s="66">
        <v>0</v>
      </c>
      <c r="AC30" s="66">
        <v>0</v>
      </c>
      <c r="AD30" s="66">
        <v>0</v>
      </c>
      <c r="AE30" s="66">
        <v>0</v>
      </c>
      <c r="AF30" s="66">
        <v>0</v>
      </c>
      <c r="AG30" s="66">
        <v>0</v>
      </c>
      <c r="AH30" s="66">
        <v>0</v>
      </c>
      <c r="AI30" s="66">
        <v>0</v>
      </c>
      <c r="AJ30" s="66">
        <v>0</v>
      </c>
      <c r="AK30" s="66">
        <v>0</v>
      </c>
      <c r="AL30" s="66">
        <v>0</v>
      </c>
      <c r="AM30" s="66">
        <v>0</v>
      </c>
      <c r="AN30" s="66">
        <v>0</v>
      </c>
      <c r="AO30" s="66">
        <v>0</v>
      </c>
      <c r="AP30" s="66">
        <v>0</v>
      </c>
      <c r="AQ30" s="66">
        <v>0</v>
      </c>
      <c r="AR30" s="66">
        <v>0</v>
      </c>
      <c r="AS30" s="66">
        <v>0</v>
      </c>
      <c r="AT30" s="66">
        <v>0</v>
      </c>
      <c r="AU30" s="66">
        <v>0</v>
      </c>
      <c r="AV30" s="66">
        <v>0</v>
      </c>
      <c r="AW30" s="66">
        <v>0</v>
      </c>
      <c r="AX30" s="66">
        <v>0</v>
      </c>
      <c r="AY30" s="66">
        <v>0</v>
      </c>
      <c r="AZ30" s="66">
        <v>0</v>
      </c>
      <c r="BA30" s="66">
        <v>0</v>
      </c>
      <c r="BB30" s="66">
        <v>0</v>
      </c>
      <c r="BC30" s="66">
        <v>0</v>
      </c>
      <c r="BD30" s="67">
        <f t="shared" si="24"/>
        <v>100000</v>
      </c>
      <c r="BG30" s="64">
        <f t="shared" si="25"/>
        <v>0</v>
      </c>
      <c r="BH30" s="64">
        <f t="shared" si="26"/>
        <v>100000</v>
      </c>
      <c r="BI30" s="64">
        <f t="shared" si="27"/>
        <v>0</v>
      </c>
      <c r="BJ30" s="64">
        <f t="shared" si="28"/>
        <v>0</v>
      </c>
      <c r="BK30" s="64">
        <f t="shared" si="29"/>
        <v>0</v>
      </c>
      <c r="BL30" s="64">
        <f t="shared" si="30"/>
        <v>0</v>
      </c>
      <c r="BM30" s="64">
        <f t="shared" si="31"/>
        <v>100000</v>
      </c>
    </row>
    <row r="31" spans="1:65">
      <c r="A31" s="134" t="s">
        <v>89</v>
      </c>
      <c r="E31" s="64">
        <v>0</v>
      </c>
      <c r="F31" s="66">
        <f>'Entitlement Gantt Chart'!F47</f>
        <v>5000</v>
      </c>
      <c r="G31" s="66">
        <f>'Entitlement Gantt Chart'!G47</f>
        <v>0</v>
      </c>
      <c r="H31" s="66">
        <f>'Entitlement Gantt Chart'!H47</f>
        <v>0</v>
      </c>
      <c r="I31" s="66">
        <f>'Entitlement Gantt Chart'!I47</f>
        <v>0</v>
      </c>
      <c r="J31" s="66">
        <f>'Entitlement Gantt Chart'!J47</f>
        <v>0</v>
      </c>
      <c r="K31" s="66">
        <f>'Entitlement Gantt Chart'!K47</f>
        <v>0</v>
      </c>
      <c r="L31" s="66">
        <f>'Entitlement Gantt Chart'!L47</f>
        <v>0</v>
      </c>
      <c r="M31" s="66">
        <f>'Entitlement Gantt Chart'!M47</f>
        <v>0</v>
      </c>
      <c r="N31" s="66">
        <f>'Entitlement Gantt Chart'!N47</f>
        <v>0</v>
      </c>
      <c r="O31" s="66">
        <f>'Entitlement Gantt Chart'!O47</f>
        <v>0</v>
      </c>
      <c r="P31" s="66">
        <f>'Entitlement Gantt Chart'!P47</f>
        <v>0</v>
      </c>
      <c r="Q31" s="66">
        <f>'Entitlement Gantt Chart'!Q47</f>
        <v>0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  <c r="AC31" s="66">
        <v>0</v>
      </c>
      <c r="AD31" s="66">
        <v>0</v>
      </c>
      <c r="AE31" s="66">
        <v>0</v>
      </c>
      <c r="AF31" s="66">
        <v>0</v>
      </c>
      <c r="AG31" s="66">
        <v>0</v>
      </c>
      <c r="AH31" s="66">
        <v>0</v>
      </c>
      <c r="AI31" s="66">
        <v>0</v>
      </c>
      <c r="AJ31" s="66">
        <v>0</v>
      </c>
      <c r="AK31" s="66">
        <v>0</v>
      </c>
      <c r="AL31" s="66">
        <v>0</v>
      </c>
      <c r="AM31" s="66">
        <v>0</v>
      </c>
      <c r="AN31" s="66">
        <v>0</v>
      </c>
      <c r="AO31" s="66">
        <v>0</v>
      </c>
      <c r="AP31" s="66">
        <v>0</v>
      </c>
      <c r="AQ31" s="66">
        <v>0</v>
      </c>
      <c r="AR31" s="66">
        <v>0</v>
      </c>
      <c r="AS31" s="66">
        <v>0</v>
      </c>
      <c r="AT31" s="66">
        <v>0</v>
      </c>
      <c r="AU31" s="66">
        <v>0</v>
      </c>
      <c r="AV31" s="66">
        <v>0</v>
      </c>
      <c r="AW31" s="66">
        <v>0</v>
      </c>
      <c r="AX31" s="66"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  <c r="BD31" s="67">
        <f t="shared" si="24"/>
        <v>5000</v>
      </c>
      <c r="BG31" s="64">
        <f t="shared" si="25"/>
        <v>0</v>
      </c>
      <c r="BH31" s="64">
        <f t="shared" si="26"/>
        <v>5000</v>
      </c>
      <c r="BI31" s="64">
        <f t="shared" si="27"/>
        <v>0</v>
      </c>
      <c r="BJ31" s="64">
        <f t="shared" si="28"/>
        <v>0</v>
      </c>
      <c r="BK31" s="64">
        <f t="shared" si="29"/>
        <v>0</v>
      </c>
      <c r="BL31" s="64">
        <f t="shared" si="30"/>
        <v>0</v>
      </c>
      <c r="BM31" s="64">
        <f t="shared" si="31"/>
        <v>5000</v>
      </c>
    </row>
    <row r="32" spans="1:65">
      <c r="A32" s="134" t="s">
        <v>90</v>
      </c>
      <c r="E32" s="64">
        <v>0</v>
      </c>
      <c r="F32" s="66">
        <f>'Entitlement Gantt Chart'!F48</f>
        <v>60000</v>
      </c>
      <c r="G32" s="66">
        <f>'Entitlement Gantt Chart'!G48</f>
        <v>0</v>
      </c>
      <c r="H32" s="66">
        <f>'Entitlement Gantt Chart'!H48</f>
        <v>0</v>
      </c>
      <c r="I32" s="66">
        <f>'Entitlement Gantt Chart'!I48</f>
        <v>0</v>
      </c>
      <c r="J32" s="66">
        <f>'Entitlement Gantt Chart'!J48</f>
        <v>0</v>
      </c>
      <c r="K32" s="66">
        <f>'Entitlement Gantt Chart'!K48</f>
        <v>0</v>
      </c>
      <c r="L32" s="66">
        <f>'Entitlement Gantt Chart'!L48</f>
        <v>0</v>
      </c>
      <c r="M32" s="66">
        <f>'Entitlement Gantt Chart'!M48</f>
        <v>0</v>
      </c>
      <c r="N32" s="66">
        <f>'Entitlement Gantt Chart'!N48</f>
        <v>0</v>
      </c>
      <c r="O32" s="66">
        <f>'Entitlement Gantt Chart'!O48</f>
        <v>0</v>
      </c>
      <c r="P32" s="66">
        <f>'Entitlement Gantt Chart'!P48</f>
        <v>0</v>
      </c>
      <c r="Q32" s="66">
        <f>'Entitlement Gantt Chart'!Q48</f>
        <v>0</v>
      </c>
      <c r="R32" s="66">
        <v>0</v>
      </c>
      <c r="S32" s="66">
        <v>0</v>
      </c>
      <c r="T32" s="66">
        <v>0</v>
      </c>
      <c r="U32" s="66">
        <v>0</v>
      </c>
      <c r="V32" s="66">
        <v>0</v>
      </c>
      <c r="W32" s="66">
        <v>0</v>
      </c>
      <c r="X32" s="66">
        <v>0</v>
      </c>
      <c r="Y32" s="66">
        <v>0</v>
      </c>
      <c r="Z32" s="66">
        <v>0</v>
      </c>
      <c r="AA32" s="66">
        <v>0</v>
      </c>
      <c r="AB32" s="66">
        <v>0</v>
      </c>
      <c r="AC32" s="66">
        <v>0</v>
      </c>
      <c r="AD32" s="66">
        <v>0</v>
      </c>
      <c r="AE32" s="66">
        <v>0</v>
      </c>
      <c r="AF32" s="66">
        <v>0</v>
      </c>
      <c r="AG32" s="66">
        <v>0</v>
      </c>
      <c r="AH32" s="66">
        <v>0</v>
      </c>
      <c r="AI32" s="66">
        <v>0</v>
      </c>
      <c r="AJ32" s="66">
        <v>0</v>
      </c>
      <c r="AK32" s="66">
        <v>0</v>
      </c>
      <c r="AL32" s="66">
        <v>0</v>
      </c>
      <c r="AM32" s="66">
        <v>0</v>
      </c>
      <c r="AN32" s="66">
        <v>0</v>
      </c>
      <c r="AO32" s="66">
        <v>0</v>
      </c>
      <c r="AP32" s="66">
        <v>0</v>
      </c>
      <c r="AQ32" s="66">
        <v>0</v>
      </c>
      <c r="AR32" s="66">
        <v>0</v>
      </c>
      <c r="AS32" s="66">
        <v>0</v>
      </c>
      <c r="AT32" s="66">
        <v>0</v>
      </c>
      <c r="AU32" s="66">
        <v>0</v>
      </c>
      <c r="AV32" s="66">
        <v>0</v>
      </c>
      <c r="AW32" s="66">
        <v>0</v>
      </c>
      <c r="AX32" s="66">
        <v>0</v>
      </c>
      <c r="AY32" s="66">
        <v>0</v>
      </c>
      <c r="AZ32" s="66">
        <v>0</v>
      </c>
      <c r="BA32" s="66">
        <v>0</v>
      </c>
      <c r="BB32" s="66">
        <v>0</v>
      </c>
      <c r="BC32" s="66">
        <v>0</v>
      </c>
      <c r="BD32" s="67">
        <f t="shared" si="24"/>
        <v>60000</v>
      </c>
      <c r="BG32" s="64">
        <f t="shared" si="25"/>
        <v>0</v>
      </c>
      <c r="BH32" s="64">
        <f t="shared" si="26"/>
        <v>60000</v>
      </c>
      <c r="BI32" s="64">
        <f t="shared" si="27"/>
        <v>0</v>
      </c>
      <c r="BJ32" s="64">
        <f t="shared" si="28"/>
        <v>0</v>
      </c>
      <c r="BK32" s="64">
        <f t="shared" si="29"/>
        <v>0</v>
      </c>
      <c r="BL32" s="64">
        <f t="shared" si="30"/>
        <v>0</v>
      </c>
      <c r="BM32" s="64">
        <f t="shared" si="31"/>
        <v>60000</v>
      </c>
    </row>
    <row r="33" spans="1:65">
      <c r="A33" s="134" t="s">
        <v>91</v>
      </c>
      <c r="E33" s="64">
        <v>0</v>
      </c>
      <c r="F33" s="66">
        <f>'Entitlement Gantt Chart'!F49</f>
        <v>15000</v>
      </c>
      <c r="G33" s="66">
        <f>'Entitlement Gantt Chart'!G49</f>
        <v>0</v>
      </c>
      <c r="H33" s="66">
        <f>'Entitlement Gantt Chart'!H49</f>
        <v>0</v>
      </c>
      <c r="I33" s="66">
        <f>'Entitlement Gantt Chart'!I49</f>
        <v>0</v>
      </c>
      <c r="J33" s="66">
        <f>'Entitlement Gantt Chart'!J49</f>
        <v>0</v>
      </c>
      <c r="K33" s="66">
        <f>'Entitlement Gantt Chart'!K49</f>
        <v>0</v>
      </c>
      <c r="L33" s="66">
        <f>'Entitlement Gantt Chart'!L49</f>
        <v>0</v>
      </c>
      <c r="M33" s="66">
        <f>'Entitlement Gantt Chart'!M49</f>
        <v>0</v>
      </c>
      <c r="N33" s="66">
        <f>'Entitlement Gantt Chart'!N49</f>
        <v>0</v>
      </c>
      <c r="O33" s="66">
        <f>'Entitlement Gantt Chart'!O49</f>
        <v>0</v>
      </c>
      <c r="P33" s="66">
        <f>'Entitlement Gantt Chart'!P49</f>
        <v>0</v>
      </c>
      <c r="Q33" s="66">
        <f>'Entitlement Gantt Chart'!Q49</f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  <c r="AC33" s="66">
        <v>0</v>
      </c>
      <c r="AD33" s="66">
        <v>0</v>
      </c>
      <c r="AE33" s="66">
        <v>0</v>
      </c>
      <c r="AF33" s="66">
        <v>0</v>
      </c>
      <c r="AG33" s="66">
        <v>0</v>
      </c>
      <c r="AH33" s="66">
        <v>0</v>
      </c>
      <c r="AI33" s="66">
        <v>0</v>
      </c>
      <c r="AJ33" s="66">
        <v>0</v>
      </c>
      <c r="AK33" s="66">
        <v>0</v>
      </c>
      <c r="AL33" s="66">
        <v>0</v>
      </c>
      <c r="AM33" s="66">
        <v>0</v>
      </c>
      <c r="AN33" s="66">
        <v>0</v>
      </c>
      <c r="AO33" s="66">
        <v>0</v>
      </c>
      <c r="AP33" s="66">
        <v>0</v>
      </c>
      <c r="AQ33" s="66">
        <v>0</v>
      </c>
      <c r="AR33" s="66">
        <v>0</v>
      </c>
      <c r="AS33" s="66">
        <v>0</v>
      </c>
      <c r="AT33" s="66">
        <v>0</v>
      </c>
      <c r="AU33" s="66">
        <v>0</v>
      </c>
      <c r="AV33" s="66">
        <v>0</v>
      </c>
      <c r="AW33" s="66">
        <v>0</v>
      </c>
      <c r="AX33" s="66">
        <v>0</v>
      </c>
      <c r="AY33" s="66">
        <v>0</v>
      </c>
      <c r="AZ33" s="66">
        <v>0</v>
      </c>
      <c r="BA33" s="66">
        <v>0</v>
      </c>
      <c r="BB33" s="66">
        <v>0</v>
      </c>
      <c r="BC33" s="66">
        <v>0</v>
      </c>
      <c r="BD33" s="67">
        <f t="shared" si="24"/>
        <v>15000</v>
      </c>
      <c r="BG33" s="64">
        <f t="shared" si="25"/>
        <v>0</v>
      </c>
      <c r="BH33" s="64">
        <f t="shared" si="26"/>
        <v>15000</v>
      </c>
      <c r="BI33" s="64">
        <f t="shared" si="27"/>
        <v>0</v>
      </c>
      <c r="BJ33" s="64">
        <f t="shared" si="28"/>
        <v>0</v>
      </c>
      <c r="BK33" s="64">
        <f t="shared" si="29"/>
        <v>0</v>
      </c>
      <c r="BL33" s="64">
        <f t="shared" si="30"/>
        <v>0</v>
      </c>
      <c r="BM33" s="64">
        <f t="shared" si="31"/>
        <v>15000</v>
      </c>
    </row>
    <row r="34" spans="1:65">
      <c r="A34" s="134" t="s">
        <v>92</v>
      </c>
      <c r="E34" s="64">
        <v>0</v>
      </c>
      <c r="F34" s="66">
        <f>'Entitlement Gantt Chart'!F50</f>
        <v>20000</v>
      </c>
      <c r="G34" s="66">
        <f>'Entitlement Gantt Chart'!G50</f>
        <v>0</v>
      </c>
      <c r="H34" s="66">
        <f>'Entitlement Gantt Chart'!H50</f>
        <v>0</v>
      </c>
      <c r="I34" s="66">
        <f>'Entitlement Gantt Chart'!I50</f>
        <v>0</v>
      </c>
      <c r="J34" s="66">
        <f>'Entitlement Gantt Chart'!J50</f>
        <v>0</v>
      </c>
      <c r="K34" s="66">
        <f>'Entitlement Gantt Chart'!K50</f>
        <v>0</v>
      </c>
      <c r="L34" s="66">
        <f>'Entitlement Gantt Chart'!L50</f>
        <v>0</v>
      </c>
      <c r="M34" s="66">
        <f>'Entitlement Gantt Chart'!M50</f>
        <v>0</v>
      </c>
      <c r="N34" s="66">
        <f>'Entitlement Gantt Chart'!N50</f>
        <v>0</v>
      </c>
      <c r="O34" s="66">
        <f>'Entitlement Gantt Chart'!O50</f>
        <v>0</v>
      </c>
      <c r="P34" s="66">
        <f>'Entitlement Gantt Chart'!P50</f>
        <v>0</v>
      </c>
      <c r="Q34" s="66">
        <f>'Entitlement Gantt Chart'!Q50</f>
        <v>0</v>
      </c>
      <c r="R34" s="66">
        <v>0</v>
      </c>
      <c r="S34" s="66">
        <v>0</v>
      </c>
      <c r="T34" s="66">
        <v>0</v>
      </c>
      <c r="U34" s="66">
        <v>0</v>
      </c>
      <c r="V34" s="66">
        <v>0</v>
      </c>
      <c r="W34" s="66">
        <v>0</v>
      </c>
      <c r="X34" s="66">
        <v>0</v>
      </c>
      <c r="Y34" s="66">
        <v>0</v>
      </c>
      <c r="Z34" s="66">
        <v>0</v>
      </c>
      <c r="AA34" s="66">
        <v>0</v>
      </c>
      <c r="AB34" s="66">
        <v>0</v>
      </c>
      <c r="AC34" s="66">
        <v>0</v>
      </c>
      <c r="AD34" s="66">
        <v>0</v>
      </c>
      <c r="AE34" s="66">
        <v>0</v>
      </c>
      <c r="AF34" s="66">
        <v>0</v>
      </c>
      <c r="AG34" s="66">
        <v>0</v>
      </c>
      <c r="AH34" s="66">
        <v>0</v>
      </c>
      <c r="AI34" s="66">
        <v>0</v>
      </c>
      <c r="AJ34" s="66">
        <v>0</v>
      </c>
      <c r="AK34" s="66">
        <v>0</v>
      </c>
      <c r="AL34" s="66">
        <v>0</v>
      </c>
      <c r="AM34" s="66">
        <v>0</v>
      </c>
      <c r="AN34" s="66">
        <v>0</v>
      </c>
      <c r="AO34" s="66">
        <v>0</v>
      </c>
      <c r="AP34" s="66">
        <v>0</v>
      </c>
      <c r="AQ34" s="66">
        <v>0</v>
      </c>
      <c r="AR34" s="66">
        <v>0</v>
      </c>
      <c r="AS34" s="66">
        <v>0</v>
      </c>
      <c r="AT34" s="66">
        <v>0</v>
      </c>
      <c r="AU34" s="66">
        <v>0</v>
      </c>
      <c r="AV34" s="66">
        <v>0</v>
      </c>
      <c r="AW34" s="66">
        <v>0</v>
      </c>
      <c r="AX34" s="66">
        <v>0</v>
      </c>
      <c r="AY34" s="66">
        <v>0</v>
      </c>
      <c r="AZ34" s="66">
        <v>0</v>
      </c>
      <c r="BA34" s="66">
        <v>0</v>
      </c>
      <c r="BB34" s="66">
        <v>0</v>
      </c>
      <c r="BC34" s="66">
        <v>0</v>
      </c>
      <c r="BD34" s="67">
        <f t="shared" si="24"/>
        <v>20000</v>
      </c>
      <c r="BG34" s="64">
        <f t="shared" si="25"/>
        <v>0</v>
      </c>
      <c r="BH34" s="64">
        <f t="shared" si="26"/>
        <v>20000</v>
      </c>
      <c r="BI34" s="64">
        <f t="shared" si="27"/>
        <v>0</v>
      </c>
      <c r="BJ34" s="64">
        <f t="shared" si="28"/>
        <v>0</v>
      </c>
      <c r="BK34" s="64">
        <f t="shared" si="29"/>
        <v>0</v>
      </c>
      <c r="BL34" s="64">
        <f t="shared" si="30"/>
        <v>0</v>
      </c>
      <c r="BM34" s="64">
        <f t="shared" si="31"/>
        <v>20000</v>
      </c>
    </row>
    <row r="35" spans="1:65">
      <c r="A35" s="134" t="s">
        <v>93</v>
      </c>
      <c r="E35" s="64">
        <v>0</v>
      </c>
      <c r="F35" s="66">
        <f>'Entitlement Gantt Chart'!F51</f>
        <v>0</v>
      </c>
      <c r="G35" s="66">
        <f>'Entitlement Gantt Chart'!G51</f>
        <v>0</v>
      </c>
      <c r="H35" s="66">
        <f>'Entitlement Gantt Chart'!H51</f>
        <v>0</v>
      </c>
      <c r="I35" s="66">
        <f>'Entitlement Gantt Chart'!I51</f>
        <v>140000</v>
      </c>
      <c r="J35" s="66">
        <f>'Entitlement Gantt Chart'!J51</f>
        <v>0</v>
      </c>
      <c r="K35" s="66">
        <f>'Entitlement Gantt Chart'!K51</f>
        <v>0</v>
      </c>
      <c r="L35" s="66">
        <f>'Entitlement Gantt Chart'!L51</f>
        <v>0</v>
      </c>
      <c r="M35" s="66">
        <f>'Entitlement Gantt Chart'!M51</f>
        <v>0</v>
      </c>
      <c r="N35" s="66">
        <f>'Entitlement Gantt Chart'!N51</f>
        <v>0</v>
      </c>
      <c r="O35" s="66">
        <f>'Entitlement Gantt Chart'!O51</f>
        <v>0</v>
      </c>
      <c r="P35" s="66">
        <f>'Entitlement Gantt Chart'!P51</f>
        <v>0</v>
      </c>
      <c r="Q35" s="66">
        <f>'Entitlement Gantt Chart'!Q51</f>
        <v>0</v>
      </c>
      <c r="R35" s="66">
        <v>0</v>
      </c>
      <c r="S35" s="66">
        <v>0</v>
      </c>
      <c r="T35" s="66">
        <v>0</v>
      </c>
      <c r="U35" s="66">
        <v>0</v>
      </c>
      <c r="V35" s="66">
        <v>0</v>
      </c>
      <c r="W35" s="66">
        <v>0</v>
      </c>
      <c r="X35" s="66">
        <v>0</v>
      </c>
      <c r="Y35" s="66">
        <v>0</v>
      </c>
      <c r="Z35" s="66">
        <v>0</v>
      </c>
      <c r="AA35" s="66">
        <v>0</v>
      </c>
      <c r="AB35" s="66">
        <v>0</v>
      </c>
      <c r="AC35" s="66">
        <v>0</v>
      </c>
      <c r="AD35" s="66">
        <v>0</v>
      </c>
      <c r="AE35" s="66">
        <v>0</v>
      </c>
      <c r="AF35" s="66">
        <v>0</v>
      </c>
      <c r="AG35" s="66">
        <v>0</v>
      </c>
      <c r="AH35" s="66">
        <v>0</v>
      </c>
      <c r="AI35" s="66">
        <v>0</v>
      </c>
      <c r="AJ35" s="66">
        <v>0</v>
      </c>
      <c r="AK35" s="66">
        <v>0</v>
      </c>
      <c r="AL35" s="66">
        <v>0</v>
      </c>
      <c r="AM35" s="66">
        <v>0</v>
      </c>
      <c r="AN35" s="66">
        <v>0</v>
      </c>
      <c r="AO35" s="66">
        <v>0</v>
      </c>
      <c r="AP35" s="66">
        <v>0</v>
      </c>
      <c r="AQ35" s="66">
        <v>0</v>
      </c>
      <c r="AR35" s="66">
        <v>0</v>
      </c>
      <c r="AS35" s="66">
        <v>0</v>
      </c>
      <c r="AT35" s="66">
        <v>0</v>
      </c>
      <c r="AU35" s="66">
        <v>0</v>
      </c>
      <c r="AV35" s="66">
        <v>0</v>
      </c>
      <c r="AW35" s="66">
        <v>0</v>
      </c>
      <c r="AX35" s="66">
        <v>0</v>
      </c>
      <c r="AY35" s="66">
        <v>0</v>
      </c>
      <c r="AZ35" s="66">
        <v>0</v>
      </c>
      <c r="BA35" s="66">
        <v>0</v>
      </c>
      <c r="BB35" s="66">
        <v>0</v>
      </c>
      <c r="BC35" s="66">
        <v>0</v>
      </c>
      <c r="BD35" s="67">
        <f t="shared" si="24"/>
        <v>140000</v>
      </c>
      <c r="BG35" s="64">
        <f t="shared" si="25"/>
        <v>0</v>
      </c>
      <c r="BH35" s="64">
        <f t="shared" si="26"/>
        <v>140000</v>
      </c>
      <c r="BI35" s="64">
        <f t="shared" si="27"/>
        <v>0</v>
      </c>
      <c r="BJ35" s="64">
        <f t="shared" si="28"/>
        <v>0</v>
      </c>
      <c r="BK35" s="64">
        <f t="shared" si="29"/>
        <v>0</v>
      </c>
      <c r="BL35" s="64">
        <f t="shared" si="30"/>
        <v>0</v>
      </c>
      <c r="BM35" s="64">
        <f t="shared" si="31"/>
        <v>140000</v>
      </c>
    </row>
    <row r="36" spans="1:65">
      <c r="A36" s="134" t="s">
        <v>94</v>
      </c>
      <c r="E36" s="64">
        <v>0</v>
      </c>
      <c r="F36" s="66">
        <f>'Entitlement Gantt Chart'!F52</f>
        <v>0</v>
      </c>
      <c r="G36" s="66">
        <f>'Entitlement Gantt Chart'!G52</f>
        <v>0</v>
      </c>
      <c r="H36" s="66">
        <f>'Entitlement Gantt Chart'!H52</f>
        <v>0</v>
      </c>
      <c r="I36" s="66">
        <f>'Entitlement Gantt Chart'!I52</f>
        <v>75000</v>
      </c>
      <c r="J36" s="66">
        <f>'Entitlement Gantt Chart'!J52</f>
        <v>0</v>
      </c>
      <c r="K36" s="66">
        <f>'Entitlement Gantt Chart'!K52</f>
        <v>0</v>
      </c>
      <c r="L36" s="66">
        <f>'Entitlement Gantt Chart'!L52</f>
        <v>0</v>
      </c>
      <c r="M36" s="66">
        <f>'Entitlement Gantt Chart'!M52</f>
        <v>0</v>
      </c>
      <c r="N36" s="66">
        <f>'Entitlement Gantt Chart'!N52</f>
        <v>0</v>
      </c>
      <c r="O36" s="66">
        <f>'Entitlement Gantt Chart'!O52</f>
        <v>0</v>
      </c>
      <c r="P36" s="66">
        <f>'Entitlement Gantt Chart'!P52</f>
        <v>0</v>
      </c>
      <c r="Q36" s="66">
        <f>'Entitlement Gantt Chart'!Q52</f>
        <v>0</v>
      </c>
      <c r="R36" s="66">
        <v>0</v>
      </c>
      <c r="S36" s="66">
        <v>0</v>
      </c>
      <c r="T36" s="66">
        <v>0</v>
      </c>
      <c r="U36" s="66">
        <v>0</v>
      </c>
      <c r="V36" s="66">
        <v>0</v>
      </c>
      <c r="W36" s="66">
        <v>0</v>
      </c>
      <c r="X36" s="66">
        <v>0</v>
      </c>
      <c r="Y36" s="66">
        <v>0</v>
      </c>
      <c r="Z36" s="66">
        <v>0</v>
      </c>
      <c r="AA36" s="66">
        <v>0</v>
      </c>
      <c r="AB36" s="66">
        <v>0</v>
      </c>
      <c r="AC36" s="66">
        <v>0</v>
      </c>
      <c r="AD36" s="66">
        <v>0</v>
      </c>
      <c r="AE36" s="66">
        <v>0</v>
      </c>
      <c r="AF36" s="66">
        <v>0</v>
      </c>
      <c r="AG36" s="66">
        <v>0</v>
      </c>
      <c r="AH36" s="66">
        <v>0</v>
      </c>
      <c r="AI36" s="66">
        <v>0</v>
      </c>
      <c r="AJ36" s="66">
        <v>0</v>
      </c>
      <c r="AK36" s="66">
        <v>0</v>
      </c>
      <c r="AL36" s="66">
        <v>0</v>
      </c>
      <c r="AM36" s="66">
        <v>0</v>
      </c>
      <c r="AN36" s="66">
        <v>0</v>
      </c>
      <c r="AO36" s="66">
        <v>0</v>
      </c>
      <c r="AP36" s="66">
        <v>0</v>
      </c>
      <c r="AQ36" s="66">
        <v>0</v>
      </c>
      <c r="AR36" s="66">
        <v>0</v>
      </c>
      <c r="AS36" s="66">
        <v>0</v>
      </c>
      <c r="AT36" s="66">
        <v>0</v>
      </c>
      <c r="AU36" s="66">
        <v>0</v>
      </c>
      <c r="AV36" s="66">
        <v>0</v>
      </c>
      <c r="AW36" s="66">
        <v>0</v>
      </c>
      <c r="AX36" s="66">
        <v>0</v>
      </c>
      <c r="AY36" s="66">
        <v>0</v>
      </c>
      <c r="AZ36" s="66">
        <v>0</v>
      </c>
      <c r="BA36" s="66">
        <v>0</v>
      </c>
      <c r="BB36" s="66">
        <v>0</v>
      </c>
      <c r="BC36" s="66">
        <v>0</v>
      </c>
      <c r="BD36" s="67">
        <f t="shared" si="24"/>
        <v>75000</v>
      </c>
      <c r="BG36" s="64">
        <f t="shared" si="25"/>
        <v>0</v>
      </c>
      <c r="BH36" s="64">
        <f t="shared" si="26"/>
        <v>75000</v>
      </c>
      <c r="BI36" s="64">
        <f t="shared" si="27"/>
        <v>0</v>
      </c>
      <c r="BJ36" s="64">
        <f t="shared" si="28"/>
        <v>0</v>
      </c>
      <c r="BK36" s="64">
        <f t="shared" si="29"/>
        <v>0</v>
      </c>
      <c r="BL36" s="64">
        <f t="shared" si="30"/>
        <v>0</v>
      </c>
      <c r="BM36" s="64">
        <f t="shared" si="31"/>
        <v>75000</v>
      </c>
    </row>
    <row r="37" spans="1:65">
      <c r="A37" s="134" t="s">
        <v>95</v>
      </c>
      <c r="E37" s="64">
        <v>0</v>
      </c>
      <c r="F37" s="66">
        <f>'Entitlement Gantt Chart'!F53</f>
        <v>0</v>
      </c>
      <c r="G37" s="66">
        <f>'Entitlement Gantt Chart'!G53</f>
        <v>0</v>
      </c>
      <c r="H37" s="66">
        <f>'Entitlement Gantt Chart'!H53</f>
        <v>0</v>
      </c>
      <c r="I37" s="66">
        <f>'Entitlement Gantt Chart'!I53</f>
        <v>120000</v>
      </c>
      <c r="J37" s="66">
        <f>'Entitlement Gantt Chart'!J53</f>
        <v>0</v>
      </c>
      <c r="K37" s="66">
        <f>'Entitlement Gantt Chart'!K53</f>
        <v>0</v>
      </c>
      <c r="L37" s="66">
        <f>'Entitlement Gantt Chart'!L53</f>
        <v>0</v>
      </c>
      <c r="M37" s="66">
        <f>'Entitlement Gantt Chart'!M53</f>
        <v>0</v>
      </c>
      <c r="N37" s="66">
        <f>'Entitlement Gantt Chart'!N53</f>
        <v>0</v>
      </c>
      <c r="O37" s="66">
        <f>'Entitlement Gantt Chart'!O53</f>
        <v>0</v>
      </c>
      <c r="P37" s="66">
        <f>'Entitlement Gantt Chart'!P53</f>
        <v>0</v>
      </c>
      <c r="Q37" s="66">
        <f>'Entitlement Gantt Chart'!Q53</f>
        <v>0</v>
      </c>
      <c r="R37" s="66">
        <v>0</v>
      </c>
      <c r="S37" s="66">
        <v>0</v>
      </c>
      <c r="T37" s="66">
        <v>0</v>
      </c>
      <c r="U37" s="66">
        <v>0</v>
      </c>
      <c r="V37" s="66">
        <v>0</v>
      </c>
      <c r="W37" s="66">
        <v>0</v>
      </c>
      <c r="X37" s="66">
        <v>0</v>
      </c>
      <c r="Y37" s="66">
        <v>0</v>
      </c>
      <c r="Z37" s="66">
        <v>0</v>
      </c>
      <c r="AA37" s="66">
        <v>0</v>
      </c>
      <c r="AB37" s="66">
        <v>0</v>
      </c>
      <c r="AC37" s="66">
        <v>0</v>
      </c>
      <c r="AD37" s="66">
        <v>0</v>
      </c>
      <c r="AE37" s="66">
        <v>0</v>
      </c>
      <c r="AF37" s="66">
        <v>0</v>
      </c>
      <c r="AG37" s="66">
        <v>0</v>
      </c>
      <c r="AH37" s="66">
        <v>0</v>
      </c>
      <c r="AI37" s="66">
        <v>0</v>
      </c>
      <c r="AJ37" s="66">
        <v>0</v>
      </c>
      <c r="AK37" s="66">
        <v>0</v>
      </c>
      <c r="AL37" s="66">
        <v>0</v>
      </c>
      <c r="AM37" s="66">
        <v>0</v>
      </c>
      <c r="AN37" s="66">
        <v>0</v>
      </c>
      <c r="AO37" s="66">
        <v>0</v>
      </c>
      <c r="AP37" s="66">
        <v>0</v>
      </c>
      <c r="AQ37" s="66">
        <v>0</v>
      </c>
      <c r="AR37" s="66">
        <v>0</v>
      </c>
      <c r="AS37" s="66">
        <v>0</v>
      </c>
      <c r="AT37" s="66">
        <v>0</v>
      </c>
      <c r="AU37" s="66">
        <v>0</v>
      </c>
      <c r="AV37" s="66">
        <v>0</v>
      </c>
      <c r="AW37" s="66">
        <v>0</v>
      </c>
      <c r="AX37" s="66">
        <v>0</v>
      </c>
      <c r="AY37" s="66">
        <v>0</v>
      </c>
      <c r="AZ37" s="66">
        <v>0</v>
      </c>
      <c r="BA37" s="66">
        <v>0</v>
      </c>
      <c r="BB37" s="66">
        <v>0</v>
      </c>
      <c r="BC37" s="66">
        <v>0</v>
      </c>
      <c r="BD37" s="67">
        <f t="shared" si="24"/>
        <v>120000</v>
      </c>
      <c r="BG37" s="64">
        <f t="shared" si="25"/>
        <v>0</v>
      </c>
      <c r="BH37" s="64">
        <f t="shared" si="26"/>
        <v>120000</v>
      </c>
      <c r="BI37" s="64">
        <f t="shared" si="27"/>
        <v>0</v>
      </c>
      <c r="BJ37" s="64">
        <f t="shared" si="28"/>
        <v>0</v>
      </c>
      <c r="BK37" s="64">
        <f t="shared" si="29"/>
        <v>0</v>
      </c>
      <c r="BL37" s="64">
        <f t="shared" si="30"/>
        <v>0</v>
      </c>
      <c r="BM37" s="64">
        <f t="shared" si="31"/>
        <v>120000</v>
      </c>
    </row>
    <row r="38" spans="1:65">
      <c r="A38" s="134" t="s">
        <v>96</v>
      </c>
      <c r="E38" s="64">
        <v>0</v>
      </c>
      <c r="F38" s="66">
        <f>'Entitlement Gantt Chart'!F54</f>
        <v>0</v>
      </c>
      <c r="G38" s="66">
        <f>'Entitlement Gantt Chart'!G54</f>
        <v>0</v>
      </c>
      <c r="H38" s="66">
        <f>'Entitlement Gantt Chart'!H54</f>
        <v>0</v>
      </c>
      <c r="I38" s="66">
        <f>'Entitlement Gantt Chart'!I54</f>
        <v>20000</v>
      </c>
      <c r="J38" s="66">
        <f>'Entitlement Gantt Chart'!J54</f>
        <v>0</v>
      </c>
      <c r="K38" s="66">
        <f>'Entitlement Gantt Chart'!K54</f>
        <v>0</v>
      </c>
      <c r="L38" s="66">
        <f>'Entitlement Gantt Chart'!L54</f>
        <v>0</v>
      </c>
      <c r="M38" s="66">
        <f>'Entitlement Gantt Chart'!M54</f>
        <v>0</v>
      </c>
      <c r="N38" s="66">
        <f>'Entitlement Gantt Chart'!N54</f>
        <v>0</v>
      </c>
      <c r="O38" s="66">
        <f>'Entitlement Gantt Chart'!O54</f>
        <v>0</v>
      </c>
      <c r="P38" s="66">
        <f>'Entitlement Gantt Chart'!P54</f>
        <v>0</v>
      </c>
      <c r="Q38" s="66">
        <f>'Entitlement Gantt Chart'!Q54</f>
        <v>0</v>
      </c>
      <c r="R38" s="66">
        <v>0</v>
      </c>
      <c r="S38" s="66">
        <v>0</v>
      </c>
      <c r="T38" s="66">
        <v>0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0</v>
      </c>
      <c r="AC38" s="66">
        <v>0</v>
      </c>
      <c r="AD38" s="66">
        <v>0</v>
      </c>
      <c r="AE38" s="66">
        <v>0</v>
      </c>
      <c r="AF38" s="66">
        <v>0</v>
      </c>
      <c r="AG38" s="66">
        <v>0</v>
      </c>
      <c r="AH38" s="66">
        <v>0</v>
      </c>
      <c r="AI38" s="66">
        <v>0</v>
      </c>
      <c r="AJ38" s="66">
        <v>0</v>
      </c>
      <c r="AK38" s="66">
        <v>0</v>
      </c>
      <c r="AL38" s="66">
        <v>0</v>
      </c>
      <c r="AM38" s="66">
        <v>0</v>
      </c>
      <c r="AN38" s="66">
        <v>0</v>
      </c>
      <c r="AO38" s="66">
        <v>0</v>
      </c>
      <c r="AP38" s="66">
        <v>0</v>
      </c>
      <c r="AQ38" s="66">
        <v>0</v>
      </c>
      <c r="AR38" s="66">
        <v>0</v>
      </c>
      <c r="AS38" s="66">
        <v>0</v>
      </c>
      <c r="AT38" s="66">
        <v>0</v>
      </c>
      <c r="AU38" s="66">
        <v>0</v>
      </c>
      <c r="AV38" s="66">
        <v>0</v>
      </c>
      <c r="AW38" s="66">
        <v>0</v>
      </c>
      <c r="AX38" s="66">
        <v>0</v>
      </c>
      <c r="AY38" s="66">
        <v>0</v>
      </c>
      <c r="AZ38" s="66">
        <v>0</v>
      </c>
      <c r="BA38" s="66">
        <v>0</v>
      </c>
      <c r="BB38" s="66">
        <v>0</v>
      </c>
      <c r="BC38" s="66">
        <v>0</v>
      </c>
      <c r="BD38" s="67">
        <f t="shared" si="24"/>
        <v>20000</v>
      </c>
      <c r="BG38" s="64">
        <f t="shared" si="25"/>
        <v>0</v>
      </c>
      <c r="BH38" s="64">
        <f t="shared" si="26"/>
        <v>20000</v>
      </c>
      <c r="BI38" s="64">
        <f t="shared" si="27"/>
        <v>0</v>
      </c>
      <c r="BJ38" s="64">
        <f t="shared" si="28"/>
        <v>0</v>
      </c>
      <c r="BK38" s="64">
        <f t="shared" si="29"/>
        <v>0</v>
      </c>
      <c r="BL38" s="64">
        <f t="shared" si="30"/>
        <v>0</v>
      </c>
      <c r="BM38" s="64">
        <f t="shared" si="31"/>
        <v>20000</v>
      </c>
    </row>
    <row r="39" spans="1:65">
      <c r="A39" s="134" t="s">
        <v>97</v>
      </c>
      <c r="E39" s="64">
        <v>0</v>
      </c>
      <c r="F39" s="66">
        <f>'Entitlement Gantt Chart'!F55</f>
        <v>0</v>
      </c>
      <c r="G39" s="66">
        <f>'Entitlement Gantt Chart'!G55</f>
        <v>0</v>
      </c>
      <c r="H39" s="66">
        <f>'Entitlement Gantt Chart'!H55</f>
        <v>0</v>
      </c>
      <c r="I39" s="66">
        <f>'Entitlement Gantt Chart'!I55</f>
        <v>30000</v>
      </c>
      <c r="J39" s="66">
        <f>'Entitlement Gantt Chart'!J55</f>
        <v>0</v>
      </c>
      <c r="K39" s="66">
        <f>'Entitlement Gantt Chart'!K55</f>
        <v>0</v>
      </c>
      <c r="L39" s="66">
        <f>'Entitlement Gantt Chart'!L55</f>
        <v>0</v>
      </c>
      <c r="M39" s="66">
        <f>'Entitlement Gantt Chart'!M55</f>
        <v>0</v>
      </c>
      <c r="N39" s="66">
        <f>'Entitlement Gantt Chart'!N55</f>
        <v>0</v>
      </c>
      <c r="O39" s="66">
        <f>'Entitlement Gantt Chart'!O55</f>
        <v>0</v>
      </c>
      <c r="P39" s="66">
        <f>'Entitlement Gantt Chart'!P55</f>
        <v>0</v>
      </c>
      <c r="Q39" s="66">
        <f>'Entitlement Gantt Chart'!Q55</f>
        <v>0</v>
      </c>
      <c r="R39" s="66">
        <v>0</v>
      </c>
      <c r="S39" s="66">
        <v>0</v>
      </c>
      <c r="T39" s="66">
        <v>0</v>
      </c>
      <c r="U39" s="66">
        <v>0</v>
      </c>
      <c r="V39" s="66">
        <v>0</v>
      </c>
      <c r="W39" s="66">
        <v>0</v>
      </c>
      <c r="X39" s="66">
        <v>0</v>
      </c>
      <c r="Y39" s="66">
        <v>0</v>
      </c>
      <c r="Z39" s="66">
        <v>0</v>
      </c>
      <c r="AA39" s="66">
        <v>0</v>
      </c>
      <c r="AB39" s="66">
        <v>0</v>
      </c>
      <c r="AC39" s="66">
        <v>0</v>
      </c>
      <c r="AD39" s="66">
        <v>0</v>
      </c>
      <c r="AE39" s="66">
        <v>0</v>
      </c>
      <c r="AF39" s="66">
        <v>0</v>
      </c>
      <c r="AG39" s="66">
        <v>0</v>
      </c>
      <c r="AH39" s="66">
        <v>0</v>
      </c>
      <c r="AI39" s="66">
        <v>0</v>
      </c>
      <c r="AJ39" s="66">
        <v>0</v>
      </c>
      <c r="AK39" s="66">
        <v>0</v>
      </c>
      <c r="AL39" s="66">
        <v>0</v>
      </c>
      <c r="AM39" s="66">
        <v>0</v>
      </c>
      <c r="AN39" s="66">
        <v>0</v>
      </c>
      <c r="AO39" s="66">
        <v>0</v>
      </c>
      <c r="AP39" s="66">
        <v>0</v>
      </c>
      <c r="AQ39" s="66">
        <v>0</v>
      </c>
      <c r="AR39" s="66">
        <v>0</v>
      </c>
      <c r="AS39" s="66">
        <v>0</v>
      </c>
      <c r="AT39" s="66">
        <v>0</v>
      </c>
      <c r="AU39" s="66">
        <v>0</v>
      </c>
      <c r="AV39" s="66">
        <v>0</v>
      </c>
      <c r="AW39" s="66">
        <v>0</v>
      </c>
      <c r="AX39" s="66">
        <v>0</v>
      </c>
      <c r="AY39" s="66">
        <v>0</v>
      </c>
      <c r="AZ39" s="66">
        <v>0</v>
      </c>
      <c r="BA39" s="66">
        <v>0</v>
      </c>
      <c r="BB39" s="66">
        <v>0</v>
      </c>
      <c r="BC39" s="66">
        <v>0</v>
      </c>
      <c r="BD39" s="67">
        <f t="shared" si="24"/>
        <v>30000</v>
      </c>
      <c r="BG39" s="64">
        <f t="shared" si="25"/>
        <v>0</v>
      </c>
      <c r="BH39" s="64">
        <f t="shared" si="26"/>
        <v>30000</v>
      </c>
      <c r="BI39" s="64">
        <f t="shared" si="27"/>
        <v>0</v>
      </c>
      <c r="BJ39" s="64">
        <f t="shared" si="28"/>
        <v>0</v>
      </c>
      <c r="BK39" s="64">
        <f t="shared" si="29"/>
        <v>0</v>
      </c>
      <c r="BL39" s="64">
        <f t="shared" si="30"/>
        <v>0</v>
      </c>
      <c r="BM39" s="64">
        <f t="shared" si="31"/>
        <v>30000</v>
      </c>
    </row>
    <row r="40" spans="1:65">
      <c r="A40" s="134" t="s">
        <v>98</v>
      </c>
      <c r="E40" s="64">
        <v>0</v>
      </c>
      <c r="F40" s="66">
        <f>'Entitlement Gantt Chart'!F56</f>
        <v>0</v>
      </c>
      <c r="G40" s="66">
        <f>'Entitlement Gantt Chart'!G56</f>
        <v>0</v>
      </c>
      <c r="H40" s="66">
        <f>'Entitlement Gantt Chart'!H56</f>
        <v>0</v>
      </c>
      <c r="I40" s="66">
        <f>'Entitlement Gantt Chart'!I56</f>
        <v>0</v>
      </c>
      <c r="J40" s="66">
        <f>'Entitlement Gantt Chart'!J56</f>
        <v>0</v>
      </c>
      <c r="K40" s="66">
        <f>'Entitlement Gantt Chart'!K56</f>
        <v>0</v>
      </c>
      <c r="L40" s="66">
        <f>'Entitlement Gantt Chart'!L56</f>
        <v>10000</v>
      </c>
      <c r="M40" s="66">
        <f>'Entitlement Gantt Chart'!M56</f>
        <v>0</v>
      </c>
      <c r="N40" s="66">
        <f>'Entitlement Gantt Chart'!N56</f>
        <v>0</v>
      </c>
      <c r="O40" s="66">
        <f>'Entitlement Gantt Chart'!O56</f>
        <v>0</v>
      </c>
      <c r="P40" s="66">
        <f>'Entitlement Gantt Chart'!P56</f>
        <v>0</v>
      </c>
      <c r="Q40" s="66">
        <f>'Entitlement Gantt Chart'!Q56</f>
        <v>0</v>
      </c>
      <c r="R40" s="66">
        <v>0</v>
      </c>
      <c r="S40" s="66">
        <v>0</v>
      </c>
      <c r="T40" s="66">
        <v>0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A40" s="66">
        <v>0</v>
      </c>
      <c r="AB40" s="66">
        <v>0</v>
      </c>
      <c r="AC40" s="66">
        <v>0</v>
      </c>
      <c r="AD40" s="66">
        <v>0</v>
      </c>
      <c r="AE40" s="66">
        <v>0</v>
      </c>
      <c r="AF40" s="66">
        <v>0</v>
      </c>
      <c r="AG40" s="66">
        <v>0</v>
      </c>
      <c r="AH40" s="66">
        <v>0</v>
      </c>
      <c r="AI40" s="66">
        <v>0</v>
      </c>
      <c r="AJ40" s="66">
        <v>0</v>
      </c>
      <c r="AK40" s="66">
        <v>0</v>
      </c>
      <c r="AL40" s="66">
        <v>0</v>
      </c>
      <c r="AM40" s="66">
        <v>0</v>
      </c>
      <c r="AN40" s="66">
        <v>0</v>
      </c>
      <c r="AO40" s="66">
        <v>0</v>
      </c>
      <c r="AP40" s="66">
        <v>0</v>
      </c>
      <c r="AQ40" s="66">
        <v>0</v>
      </c>
      <c r="AR40" s="66">
        <v>0</v>
      </c>
      <c r="AS40" s="66">
        <v>0</v>
      </c>
      <c r="AT40" s="66">
        <v>0</v>
      </c>
      <c r="AU40" s="66">
        <v>0</v>
      </c>
      <c r="AV40" s="66">
        <v>0</v>
      </c>
      <c r="AW40" s="66">
        <v>0</v>
      </c>
      <c r="AX40" s="66">
        <v>0</v>
      </c>
      <c r="AY40" s="66">
        <v>0</v>
      </c>
      <c r="AZ40" s="66">
        <v>0</v>
      </c>
      <c r="BA40" s="66">
        <v>0</v>
      </c>
      <c r="BB40" s="66">
        <v>0</v>
      </c>
      <c r="BC40" s="66">
        <v>0</v>
      </c>
      <c r="BD40" s="67">
        <f t="shared" si="24"/>
        <v>10000</v>
      </c>
      <c r="BG40" s="64">
        <f t="shared" si="25"/>
        <v>0</v>
      </c>
      <c r="BH40" s="64">
        <f t="shared" si="26"/>
        <v>10000</v>
      </c>
      <c r="BI40" s="64">
        <f t="shared" si="27"/>
        <v>0</v>
      </c>
      <c r="BJ40" s="64">
        <f t="shared" si="28"/>
        <v>0</v>
      </c>
      <c r="BK40" s="64">
        <f t="shared" si="29"/>
        <v>0</v>
      </c>
      <c r="BL40" s="64">
        <f t="shared" si="30"/>
        <v>0</v>
      </c>
      <c r="BM40" s="64">
        <f t="shared" si="31"/>
        <v>10000</v>
      </c>
    </row>
    <row r="41" spans="1:65">
      <c r="A41" s="134" t="s">
        <v>99</v>
      </c>
      <c r="E41" s="64">
        <v>0</v>
      </c>
      <c r="F41" s="66">
        <f>'Entitlement Gantt Chart'!F57</f>
        <v>0</v>
      </c>
      <c r="G41" s="66">
        <f>'Entitlement Gantt Chart'!G57</f>
        <v>0</v>
      </c>
      <c r="H41" s="66">
        <f>'Entitlement Gantt Chart'!H57</f>
        <v>0</v>
      </c>
      <c r="I41" s="66">
        <f>'Entitlement Gantt Chart'!I57</f>
        <v>30000</v>
      </c>
      <c r="J41" s="66">
        <f>'Entitlement Gantt Chart'!J57</f>
        <v>0</v>
      </c>
      <c r="K41" s="66">
        <f>'Entitlement Gantt Chart'!K57</f>
        <v>0</v>
      </c>
      <c r="L41" s="66">
        <f>'Entitlement Gantt Chart'!L57</f>
        <v>0</v>
      </c>
      <c r="M41" s="66">
        <f>'Entitlement Gantt Chart'!M57</f>
        <v>0</v>
      </c>
      <c r="N41" s="66">
        <f>'Entitlement Gantt Chart'!N57</f>
        <v>0</v>
      </c>
      <c r="O41" s="66">
        <f>'Entitlement Gantt Chart'!O57</f>
        <v>0</v>
      </c>
      <c r="P41" s="66">
        <f>'Entitlement Gantt Chart'!P57</f>
        <v>0</v>
      </c>
      <c r="Q41" s="66">
        <f>'Entitlement Gantt Chart'!Q57</f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  <c r="AC41" s="66">
        <v>0</v>
      </c>
      <c r="AD41" s="66">
        <v>0</v>
      </c>
      <c r="AE41" s="66">
        <v>0</v>
      </c>
      <c r="AF41" s="66">
        <v>0</v>
      </c>
      <c r="AG41" s="66">
        <v>0</v>
      </c>
      <c r="AH41" s="66">
        <v>0</v>
      </c>
      <c r="AI41" s="66">
        <v>0</v>
      </c>
      <c r="AJ41" s="66">
        <v>0</v>
      </c>
      <c r="AK41" s="66">
        <v>0</v>
      </c>
      <c r="AL41" s="66">
        <v>0</v>
      </c>
      <c r="AM41" s="66">
        <v>0</v>
      </c>
      <c r="AN41" s="66">
        <v>0</v>
      </c>
      <c r="AO41" s="66">
        <v>0</v>
      </c>
      <c r="AP41" s="66">
        <v>0</v>
      </c>
      <c r="AQ41" s="66">
        <v>0</v>
      </c>
      <c r="AR41" s="66">
        <v>0</v>
      </c>
      <c r="AS41" s="66">
        <v>0</v>
      </c>
      <c r="AT41" s="66">
        <v>0</v>
      </c>
      <c r="AU41" s="66">
        <v>0</v>
      </c>
      <c r="AV41" s="66">
        <v>0</v>
      </c>
      <c r="AW41" s="66">
        <v>0</v>
      </c>
      <c r="AX41" s="66">
        <v>0</v>
      </c>
      <c r="AY41" s="66">
        <v>0</v>
      </c>
      <c r="AZ41" s="66">
        <v>0</v>
      </c>
      <c r="BA41" s="66">
        <v>0</v>
      </c>
      <c r="BB41" s="66">
        <v>0</v>
      </c>
      <c r="BC41" s="66">
        <v>0</v>
      </c>
      <c r="BD41" s="67">
        <f t="shared" si="24"/>
        <v>30000</v>
      </c>
      <c r="BG41" s="64">
        <f t="shared" si="25"/>
        <v>0</v>
      </c>
      <c r="BH41" s="64">
        <f t="shared" si="26"/>
        <v>30000</v>
      </c>
      <c r="BI41" s="64">
        <f t="shared" si="27"/>
        <v>0</v>
      </c>
      <c r="BJ41" s="64">
        <f t="shared" si="28"/>
        <v>0</v>
      </c>
      <c r="BK41" s="64">
        <f t="shared" si="29"/>
        <v>0</v>
      </c>
      <c r="BL41" s="64">
        <f t="shared" si="30"/>
        <v>0</v>
      </c>
      <c r="BM41" s="64">
        <f t="shared" si="31"/>
        <v>30000</v>
      </c>
    </row>
    <row r="42" spans="1:65">
      <c r="A42" s="134" t="s">
        <v>100</v>
      </c>
      <c r="E42" s="64">
        <v>0</v>
      </c>
      <c r="F42" s="66">
        <f>'Entitlement Gantt Chart'!F58</f>
        <v>0</v>
      </c>
      <c r="G42" s="66">
        <f>'Entitlement Gantt Chart'!G58</f>
        <v>0</v>
      </c>
      <c r="H42" s="66">
        <f>'Entitlement Gantt Chart'!H58</f>
        <v>0</v>
      </c>
      <c r="I42" s="66">
        <f>'Entitlement Gantt Chart'!I58</f>
        <v>0</v>
      </c>
      <c r="J42" s="66">
        <f>'Entitlement Gantt Chart'!J58</f>
        <v>0</v>
      </c>
      <c r="K42" s="66">
        <f>'Entitlement Gantt Chart'!K58</f>
        <v>0</v>
      </c>
      <c r="L42" s="66">
        <f>'Entitlement Gantt Chart'!L58</f>
        <v>0</v>
      </c>
      <c r="M42" s="66">
        <f>'Entitlement Gantt Chart'!M58</f>
        <v>150000</v>
      </c>
      <c r="N42" s="66">
        <f>'Entitlement Gantt Chart'!N58</f>
        <v>0</v>
      </c>
      <c r="O42" s="66">
        <f>'Entitlement Gantt Chart'!O58</f>
        <v>0</v>
      </c>
      <c r="P42" s="66">
        <f>'Entitlement Gantt Chart'!P58</f>
        <v>0</v>
      </c>
      <c r="Q42" s="66">
        <f>'Entitlement Gantt Chart'!Q58</f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  <c r="AC42" s="66">
        <v>0</v>
      </c>
      <c r="AD42" s="66">
        <v>0</v>
      </c>
      <c r="AE42" s="66">
        <v>0</v>
      </c>
      <c r="AF42" s="66">
        <v>0</v>
      </c>
      <c r="AG42" s="66">
        <v>0</v>
      </c>
      <c r="AH42" s="66">
        <v>0</v>
      </c>
      <c r="AI42" s="66">
        <v>0</v>
      </c>
      <c r="AJ42" s="66">
        <v>0</v>
      </c>
      <c r="AK42" s="66">
        <v>0</v>
      </c>
      <c r="AL42" s="66">
        <v>0</v>
      </c>
      <c r="AM42" s="66">
        <v>0</v>
      </c>
      <c r="AN42" s="66">
        <v>0</v>
      </c>
      <c r="AO42" s="66">
        <v>0</v>
      </c>
      <c r="AP42" s="66">
        <v>0</v>
      </c>
      <c r="AQ42" s="66">
        <v>0</v>
      </c>
      <c r="AR42" s="66">
        <v>0</v>
      </c>
      <c r="AS42" s="66">
        <v>0</v>
      </c>
      <c r="AT42" s="66">
        <v>0</v>
      </c>
      <c r="AU42" s="66">
        <v>0</v>
      </c>
      <c r="AV42" s="66">
        <v>0</v>
      </c>
      <c r="AW42" s="66">
        <v>0</v>
      </c>
      <c r="AX42" s="66">
        <v>0</v>
      </c>
      <c r="AY42" s="66">
        <v>0</v>
      </c>
      <c r="AZ42" s="66">
        <v>0</v>
      </c>
      <c r="BA42" s="66">
        <v>0</v>
      </c>
      <c r="BB42" s="66">
        <v>0</v>
      </c>
      <c r="BC42" s="66">
        <v>0</v>
      </c>
      <c r="BD42" s="67">
        <f t="shared" si="24"/>
        <v>150000</v>
      </c>
      <c r="BG42" s="64">
        <f t="shared" si="25"/>
        <v>0</v>
      </c>
      <c r="BH42" s="64">
        <f t="shared" si="26"/>
        <v>150000</v>
      </c>
      <c r="BI42" s="64">
        <f t="shared" si="27"/>
        <v>0</v>
      </c>
      <c r="BJ42" s="64">
        <f t="shared" si="28"/>
        <v>0</v>
      </c>
      <c r="BK42" s="64">
        <f t="shared" si="29"/>
        <v>0</v>
      </c>
      <c r="BL42" s="64">
        <f t="shared" si="30"/>
        <v>0</v>
      </c>
      <c r="BM42" s="64">
        <f t="shared" si="31"/>
        <v>150000</v>
      </c>
    </row>
    <row r="43" spans="1:65">
      <c r="A43" s="134" t="s">
        <v>101</v>
      </c>
      <c r="E43" s="64">
        <v>0</v>
      </c>
      <c r="F43" s="66">
        <f>'Entitlement Gantt Chart'!F59</f>
        <v>0</v>
      </c>
      <c r="G43" s="66">
        <f>'Entitlement Gantt Chart'!G59</f>
        <v>0</v>
      </c>
      <c r="H43" s="66">
        <f>'Entitlement Gantt Chart'!H59</f>
        <v>0</v>
      </c>
      <c r="I43" s="66">
        <f>'Entitlement Gantt Chart'!I59</f>
        <v>0</v>
      </c>
      <c r="J43" s="66">
        <f>'Entitlement Gantt Chart'!J59</f>
        <v>0</v>
      </c>
      <c r="K43" s="66">
        <f>'Entitlement Gantt Chart'!K59</f>
        <v>0</v>
      </c>
      <c r="L43" s="66">
        <f>'Entitlement Gantt Chart'!L59</f>
        <v>0</v>
      </c>
      <c r="M43" s="66">
        <f>'Entitlement Gantt Chart'!M59</f>
        <v>60000</v>
      </c>
      <c r="N43" s="66">
        <f>'Entitlement Gantt Chart'!N59</f>
        <v>0</v>
      </c>
      <c r="O43" s="66">
        <f>'Entitlement Gantt Chart'!O59</f>
        <v>0</v>
      </c>
      <c r="P43" s="66">
        <f>'Entitlement Gantt Chart'!P59</f>
        <v>0</v>
      </c>
      <c r="Q43" s="66">
        <f>'Entitlement Gantt Chart'!Q59</f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6">
        <v>0</v>
      </c>
      <c r="AA43" s="66">
        <v>0</v>
      </c>
      <c r="AB43" s="66">
        <v>0</v>
      </c>
      <c r="AC43" s="66">
        <v>0</v>
      </c>
      <c r="AD43" s="66">
        <v>0</v>
      </c>
      <c r="AE43" s="66">
        <v>0</v>
      </c>
      <c r="AF43" s="66">
        <v>0</v>
      </c>
      <c r="AG43" s="66">
        <v>0</v>
      </c>
      <c r="AH43" s="66">
        <v>0</v>
      </c>
      <c r="AI43" s="66">
        <v>0</v>
      </c>
      <c r="AJ43" s="66">
        <v>0</v>
      </c>
      <c r="AK43" s="66">
        <v>0</v>
      </c>
      <c r="AL43" s="66">
        <v>0</v>
      </c>
      <c r="AM43" s="66">
        <v>0</v>
      </c>
      <c r="AN43" s="66">
        <v>0</v>
      </c>
      <c r="AO43" s="66">
        <v>0</v>
      </c>
      <c r="AP43" s="66">
        <v>0</v>
      </c>
      <c r="AQ43" s="66">
        <v>0</v>
      </c>
      <c r="AR43" s="66">
        <v>0</v>
      </c>
      <c r="AS43" s="66">
        <v>0</v>
      </c>
      <c r="AT43" s="66">
        <v>0</v>
      </c>
      <c r="AU43" s="66">
        <v>0</v>
      </c>
      <c r="AV43" s="66">
        <v>0</v>
      </c>
      <c r="AW43" s="66">
        <v>0</v>
      </c>
      <c r="AX43" s="66">
        <v>0</v>
      </c>
      <c r="AY43" s="66">
        <v>0</v>
      </c>
      <c r="AZ43" s="66">
        <v>0</v>
      </c>
      <c r="BA43" s="66">
        <v>0</v>
      </c>
      <c r="BB43" s="66">
        <v>0</v>
      </c>
      <c r="BC43" s="66">
        <v>0</v>
      </c>
      <c r="BD43" s="67">
        <f t="shared" si="24"/>
        <v>60000</v>
      </c>
      <c r="BG43" s="64">
        <f t="shared" si="25"/>
        <v>0</v>
      </c>
      <c r="BH43" s="64">
        <f t="shared" si="26"/>
        <v>60000</v>
      </c>
      <c r="BI43" s="64">
        <f t="shared" si="27"/>
        <v>0</v>
      </c>
      <c r="BJ43" s="64">
        <f t="shared" si="28"/>
        <v>0</v>
      </c>
      <c r="BK43" s="64">
        <f t="shared" si="29"/>
        <v>0</v>
      </c>
      <c r="BL43" s="64">
        <f t="shared" si="30"/>
        <v>0</v>
      </c>
      <c r="BM43" s="64">
        <f t="shared" si="31"/>
        <v>60000</v>
      </c>
    </row>
    <row r="44" spans="1:65">
      <c r="A44" s="134" t="s">
        <v>102</v>
      </c>
      <c r="E44" s="64">
        <v>0</v>
      </c>
      <c r="F44" s="66">
        <f>'Entitlement Gantt Chart'!F60</f>
        <v>0</v>
      </c>
      <c r="G44" s="66">
        <f>'Entitlement Gantt Chart'!G60</f>
        <v>0</v>
      </c>
      <c r="H44" s="66">
        <f>'Entitlement Gantt Chart'!H60</f>
        <v>0</v>
      </c>
      <c r="I44" s="66">
        <f>'Entitlement Gantt Chart'!I60</f>
        <v>0</v>
      </c>
      <c r="J44" s="66">
        <f>'Entitlement Gantt Chart'!J60</f>
        <v>10000</v>
      </c>
      <c r="K44" s="66">
        <f>'Entitlement Gantt Chart'!K60</f>
        <v>0</v>
      </c>
      <c r="L44" s="66">
        <f>'Entitlement Gantt Chart'!L60</f>
        <v>0</v>
      </c>
      <c r="M44" s="66">
        <f>'Entitlement Gantt Chart'!M60</f>
        <v>0</v>
      </c>
      <c r="N44" s="66">
        <f>'Entitlement Gantt Chart'!N60</f>
        <v>0</v>
      </c>
      <c r="O44" s="66">
        <f>'Entitlement Gantt Chart'!O60</f>
        <v>0</v>
      </c>
      <c r="P44" s="66">
        <f>'Entitlement Gantt Chart'!P60</f>
        <v>0</v>
      </c>
      <c r="Q44" s="66">
        <f>'Entitlement Gantt Chart'!Q60</f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  <c r="X44" s="66">
        <v>0</v>
      </c>
      <c r="Y44" s="66">
        <v>0</v>
      </c>
      <c r="Z44" s="66">
        <v>0</v>
      </c>
      <c r="AA44" s="66">
        <v>0</v>
      </c>
      <c r="AB44" s="66">
        <v>0</v>
      </c>
      <c r="AC44" s="66">
        <v>0</v>
      </c>
      <c r="AD44" s="66">
        <v>0</v>
      </c>
      <c r="AE44" s="66">
        <v>0</v>
      </c>
      <c r="AF44" s="66">
        <v>0</v>
      </c>
      <c r="AG44" s="66">
        <v>0</v>
      </c>
      <c r="AH44" s="66">
        <v>0</v>
      </c>
      <c r="AI44" s="66">
        <v>0</v>
      </c>
      <c r="AJ44" s="66">
        <v>0</v>
      </c>
      <c r="AK44" s="66">
        <v>0</v>
      </c>
      <c r="AL44" s="66">
        <v>0</v>
      </c>
      <c r="AM44" s="66">
        <v>0</v>
      </c>
      <c r="AN44" s="66">
        <v>0</v>
      </c>
      <c r="AO44" s="66">
        <v>0</v>
      </c>
      <c r="AP44" s="66">
        <v>0</v>
      </c>
      <c r="AQ44" s="66">
        <v>0</v>
      </c>
      <c r="AR44" s="66">
        <v>0</v>
      </c>
      <c r="AS44" s="66">
        <v>0</v>
      </c>
      <c r="AT44" s="66">
        <v>0</v>
      </c>
      <c r="AU44" s="66">
        <v>0</v>
      </c>
      <c r="AV44" s="66">
        <v>0</v>
      </c>
      <c r="AW44" s="66">
        <v>0</v>
      </c>
      <c r="AX44" s="66">
        <v>0</v>
      </c>
      <c r="AY44" s="66">
        <v>0</v>
      </c>
      <c r="AZ44" s="66">
        <v>0</v>
      </c>
      <c r="BA44" s="66">
        <v>0</v>
      </c>
      <c r="BB44" s="66">
        <v>0</v>
      </c>
      <c r="BC44" s="66">
        <v>0</v>
      </c>
      <c r="BD44" s="67">
        <f t="shared" si="24"/>
        <v>10000</v>
      </c>
      <c r="BG44" s="64">
        <f t="shared" si="25"/>
        <v>0</v>
      </c>
      <c r="BH44" s="64">
        <f t="shared" si="26"/>
        <v>10000</v>
      </c>
      <c r="BI44" s="64">
        <f t="shared" si="27"/>
        <v>0</v>
      </c>
      <c r="BJ44" s="64">
        <f t="shared" si="28"/>
        <v>0</v>
      </c>
      <c r="BK44" s="64">
        <f t="shared" si="29"/>
        <v>0</v>
      </c>
      <c r="BL44" s="64">
        <f t="shared" si="30"/>
        <v>0</v>
      </c>
      <c r="BM44" s="64">
        <f t="shared" si="31"/>
        <v>10000</v>
      </c>
    </row>
    <row r="45" spans="1:65">
      <c r="A45" s="134" t="s">
        <v>305</v>
      </c>
      <c r="E45" s="64">
        <v>0</v>
      </c>
      <c r="F45" s="66">
        <v>50000</v>
      </c>
      <c r="G45" s="66">
        <v>50000</v>
      </c>
      <c r="H45" s="66">
        <v>50000</v>
      </c>
      <c r="I45" s="66">
        <v>50000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66">
        <v>0</v>
      </c>
      <c r="AB45" s="66">
        <v>0</v>
      </c>
      <c r="AC45" s="66">
        <v>0</v>
      </c>
      <c r="AD45" s="66">
        <v>0</v>
      </c>
      <c r="AE45" s="66">
        <v>0</v>
      </c>
      <c r="AF45" s="66">
        <v>0</v>
      </c>
      <c r="AG45" s="66">
        <v>0</v>
      </c>
      <c r="AH45" s="66">
        <v>0</v>
      </c>
      <c r="AI45" s="66">
        <v>0</v>
      </c>
      <c r="AJ45" s="66">
        <v>0</v>
      </c>
      <c r="AK45" s="66">
        <v>0</v>
      </c>
      <c r="AL45" s="66">
        <v>0</v>
      </c>
      <c r="AM45" s="66">
        <v>0</v>
      </c>
      <c r="AN45" s="66">
        <v>0</v>
      </c>
      <c r="AO45" s="66">
        <v>0</v>
      </c>
      <c r="AP45" s="66">
        <v>0</v>
      </c>
      <c r="AQ45" s="66">
        <v>0</v>
      </c>
      <c r="AR45" s="66">
        <v>0</v>
      </c>
      <c r="AS45" s="66">
        <v>0</v>
      </c>
      <c r="AT45" s="66">
        <v>0</v>
      </c>
      <c r="AU45" s="66">
        <v>0</v>
      </c>
      <c r="AV45" s="66">
        <v>0</v>
      </c>
      <c r="AW45" s="66">
        <v>0</v>
      </c>
      <c r="AX45" s="66">
        <v>0</v>
      </c>
      <c r="AY45" s="66">
        <v>0</v>
      </c>
      <c r="AZ45" s="66">
        <v>0</v>
      </c>
      <c r="BA45" s="66">
        <v>0</v>
      </c>
      <c r="BB45" s="66">
        <v>0</v>
      </c>
      <c r="BC45" s="66">
        <v>0</v>
      </c>
      <c r="BD45" s="67">
        <f t="shared" si="24"/>
        <v>200000</v>
      </c>
      <c r="BG45" s="64">
        <f t="shared" si="25"/>
        <v>0</v>
      </c>
      <c r="BH45" s="64">
        <f t="shared" si="26"/>
        <v>200000</v>
      </c>
      <c r="BI45" s="64">
        <f t="shared" si="27"/>
        <v>0</v>
      </c>
      <c r="BJ45" s="64">
        <f t="shared" si="28"/>
        <v>0</v>
      </c>
      <c r="BK45" s="64">
        <f t="shared" si="29"/>
        <v>0</v>
      </c>
      <c r="BL45" s="64">
        <f t="shared" si="30"/>
        <v>0</v>
      </c>
      <c r="BM45" s="64">
        <f t="shared" si="31"/>
        <v>200000</v>
      </c>
    </row>
    <row r="46" spans="1:65">
      <c r="A46" s="134" t="s">
        <v>103</v>
      </c>
      <c r="E46" s="64">
        <v>0</v>
      </c>
      <c r="F46" s="66">
        <f>'Entitlement Gantt Chart'!F62</f>
        <v>0</v>
      </c>
      <c r="G46" s="66">
        <f>'Entitlement Gantt Chart'!G62</f>
        <v>0</v>
      </c>
      <c r="H46" s="66">
        <f>'Entitlement Gantt Chart'!H62</f>
        <v>0</v>
      </c>
      <c r="I46" s="66">
        <f>'Entitlement Gantt Chart'!I62</f>
        <v>0</v>
      </c>
      <c r="J46" s="66">
        <f>'Entitlement Gantt Chart'!J62</f>
        <v>0</v>
      </c>
      <c r="K46" s="66">
        <f>'Entitlement Gantt Chart'!K62</f>
        <v>0</v>
      </c>
      <c r="L46" s="66">
        <f>'Entitlement Gantt Chart'!L62</f>
        <v>0</v>
      </c>
      <c r="M46" s="66">
        <f>'Entitlement Gantt Chart'!M62</f>
        <v>0</v>
      </c>
      <c r="N46" s="66">
        <f>'Entitlement Gantt Chart'!N62</f>
        <v>50000</v>
      </c>
      <c r="O46" s="66">
        <f>'Entitlement Gantt Chart'!O62</f>
        <v>0</v>
      </c>
      <c r="P46" s="66">
        <f>'Entitlement Gantt Chart'!P62</f>
        <v>0</v>
      </c>
      <c r="Q46" s="66">
        <f>'Entitlement Gantt Chart'!Q62</f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  <c r="W46" s="66">
        <v>0</v>
      </c>
      <c r="X46" s="66">
        <v>0</v>
      </c>
      <c r="Y46" s="66">
        <v>0</v>
      </c>
      <c r="Z46" s="66">
        <v>0</v>
      </c>
      <c r="AA46" s="66">
        <v>0</v>
      </c>
      <c r="AB46" s="66">
        <v>0</v>
      </c>
      <c r="AC46" s="66">
        <v>0</v>
      </c>
      <c r="AD46" s="66">
        <v>0</v>
      </c>
      <c r="AE46" s="66">
        <v>0</v>
      </c>
      <c r="AF46" s="66">
        <v>0</v>
      </c>
      <c r="AG46" s="66">
        <v>0</v>
      </c>
      <c r="AH46" s="66">
        <v>0</v>
      </c>
      <c r="AI46" s="66">
        <v>0</v>
      </c>
      <c r="AJ46" s="66">
        <v>0</v>
      </c>
      <c r="AK46" s="66">
        <v>0</v>
      </c>
      <c r="AL46" s="66">
        <v>0</v>
      </c>
      <c r="AM46" s="66">
        <v>0</v>
      </c>
      <c r="AN46" s="66">
        <v>0</v>
      </c>
      <c r="AO46" s="66">
        <v>0</v>
      </c>
      <c r="AP46" s="66">
        <v>0</v>
      </c>
      <c r="AQ46" s="66">
        <v>0</v>
      </c>
      <c r="AR46" s="66">
        <v>0</v>
      </c>
      <c r="AS46" s="66">
        <v>0</v>
      </c>
      <c r="AT46" s="66">
        <v>0</v>
      </c>
      <c r="AU46" s="66">
        <v>0</v>
      </c>
      <c r="AV46" s="66">
        <v>0</v>
      </c>
      <c r="AW46" s="66">
        <v>0</v>
      </c>
      <c r="AX46" s="66">
        <v>0</v>
      </c>
      <c r="AY46" s="66">
        <v>0</v>
      </c>
      <c r="AZ46" s="66">
        <v>0</v>
      </c>
      <c r="BA46" s="66">
        <v>0</v>
      </c>
      <c r="BB46" s="66">
        <v>0</v>
      </c>
      <c r="BC46" s="66">
        <v>0</v>
      </c>
      <c r="BD46" s="67">
        <f t="shared" si="24"/>
        <v>50000</v>
      </c>
      <c r="BG46" s="64">
        <f t="shared" si="25"/>
        <v>0</v>
      </c>
      <c r="BH46" s="64">
        <f t="shared" si="26"/>
        <v>50000</v>
      </c>
      <c r="BI46" s="64">
        <f t="shared" si="27"/>
        <v>0</v>
      </c>
      <c r="BJ46" s="64">
        <f t="shared" si="28"/>
        <v>0</v>
      </c>
      <c r="BK46" s="64">
        <f t="shared" si="29"/>
        <v>0</v>
      </c>
      <c r="BL46" s="64">
        <f t="shared" si="30"/>
        <v>0</v>
      </c>
      <c r="BM46" s="64">
        <f t="shared" si="31"/>
        <v>50000</v>
      </c>
    </row>
    <row r="47" spans="1:65">
      <c r="A47" s="134" t="s">
        <v>104</v>
      </c>
      <c r="E47" s="64">
        <v>0</v>
      </c>
      <c r="F47" s="66">
        <f>'Entitlement Gantt Chart'!F63</f>
        <v>0</v>
      </c>
      <c r="G47" s="66">
        <f>'Entitlement Gantt Chart'!G63</f>
        <v>0</v>
      </c>
      <c r="H47" s="66">
        <f>'Entitlement Gantt Chart'!H63</f>
        <v>0</v>
      </c>
      <c r="I47" s="66">
        <f>'Entitlement Gantt Chart'!I63</f>
        <v>0</v>
      </c>
      <c r="J47" s="66">
        <f>'Entitlement Gantt Chart'!J63</f>
        <v>0</v>
      </c>
      <c r="K47" s="66">
        <f>'Entitlement Gantt Chart'!K63</f>
        <v>0</v>
      </c>
      <c r="L47" s="66">
        <f>'Entitlement Gantt Chart'!L63</f>
        <v>0</v>
      </c>
      <c r="M47" s="66">
        <f>'Entitlement Gantt Chart'!M63</f>
        <v>0</v>
      </c>
      <c r="N47" s="66">
        <f>'Entitlement Gantt Chart'!N63</f>
        <v>0</v>
      </c>
      <c r="O47" s="66">
        <f>'Entitlement Gantt Chart'!O63</f>
        <v>60000</v>
      </c>
      <c r="P47" s="66">
        <f>'Entitlement Gantt Chart'!P63</f>
        <v>0</v>
      </c>
      <c r="Q47" s="66">
        <f>'Entitlement Gantt Chart'!Q63</f>
        <v>0</v>
      </c>
      <c r="R47" s="66">
        <v>0</v>
      </c>
      <c r="S47" s="66">
        <v>0</v>
      </c>
      <c r="T47" s="66">
        <v>0</v>
      </c>
      <c r="U47" s="66">
        <v>0</v>
      </c>
      <c r="V47" s="66">
        <v>0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0</v>
      </c>
      <c r="AC47" s="66">
        <v>0</v>
      </c>
      <c r="AD47" s="66">
        <v>0</v>
      </c>
      <c r="AE47" s="66">
        <v>0</v>
      </c>
      <c r="AF47" s="66">
        <v>0</v>
      </c>
      <c r="AG47" s="66">
        <v>0</v>
      </c>
      <c r="AH47" s="66">
        <v>0</v>
      </c>
      <c r="AI47" s="66">
        <v>0</v>
      </c>
      <c r="AJ47" s="66">
        <v>0</v>
      </c>
      <c r="AK47" s="66">
        <v>0</v>
      </c>
      <c r="AL47" s="66">
        <v>0</v>
      </c>
      <c r="AM47" s="66">
        <v>0</v>
      </c>
      <c r="AN47" s="66">
        <v>0</v>
      </c>
      <c r="AO47" s="66">
        <v>0</v>
      </c>
      <c r="AP47" s="66">
        <v>0</v>
      </c>
      <c r="AQ47" s="66">
        <v>0</v>
      </c>
      <c r="AR47" s="66">
        <v>0</v>
      </c>
      <c r="AS47" s="66">
        <v>0</v>
      </c>
      <c r="AT47" s="66">
        <v>0</v>
      </c>
      <c r="AU47" s="66">
        <v>0</v>
      </c>
      <c r="AV47" s="66">
        <v>0</v>
      </c>
      <c r="AW47" s="66">
        <v>0</v>
      </c>
      <c r="AX47" s="66">
        <v>0</v>
      </c>
      <c r="AY47" s="66">
        <v>0</v>
      </c>
      <c r="AZ47" s="66">
        <v>0</v>
      </c>
      <c r="BA47" s="66">
        <v>0</v>
      </c>
      <c r="BB47" s="66">
        <v>0</v>
      </c>
      <c r="BC47" s="66">
        <v>0</v>
      </c>
      <c r="BD47" s="67">
        <f t="shared" si="24"/>
        <v>60000</v>
      </c>
      <c r="BG47" s="64">
        <f t="shared" si="25"/>
        <v>0</v>
      </c>
      <c r="BH47" s="64">
        <f t="shared" si="26"/>
        <v>60000</v>
      </c>
      <c r="BI47" s="64">
        <f t="shared" si="27"/>
        <v>0</v>
      </c>
      <c r="BJ47" s="64">
        <f t="shared" si="28"/>
        <v>0</v>
      </c>
      <c r="BK47" s="64">
        <f t="shared" si="29"/>
        <v>0</v>
      </c>
      <c r="BL47" s="64">
        <f t="shared" si="30"/>
        <v>0</v>
      </c>
      <c r="BM47" s="64">
        <f t="shared" si="31"/>
        <v>60000</v>
      </c>
    </row>
    <row r="48" spans="1:65">
      <c r="A48" s="100" t="s">
        <v>105</v>
      </c>
      <c r="E48" s="64">
        <v>0</v>
      </c>
      <c r="F48" s="66">
        <f>'Entitlement Gantt Chart'!F64</f>
        <v>0</v>
      </c>
      <c r="G48" s="66">
        <f>'Entitlement Gantt Chart'!G64</f>
        <v>0</v>
      </c>
      <c r="H48" s="66">
        <f>'Entitlement Gantt Chart'!H64</f>
        <v>0</v>
      </c>
      <c r="I48" s="66">
        <f>'Entitlement Gantt Chart'!I64</f>
        <v>0</v>
      </c>
      <c r="J48" s="66">
        <f>'Entitlement Gantt Chart'!J64</f>
        <v>0</v>
      </c>
      <c r="K48" s="66">
        <f>'Entitlement Gantt Chart'!K64</f>
        <v>0</v>
      </c>
      <c r="L48" s="66">
        <f>'Entitlement Gantt Chart'!L64</f>
        <v>0</v>
      </c>
      <c r="M48" s="66">
        <f>'Entitlement Gantt Chart'!M64</f>
        <v>0</v>
      </c>
      <c r="N48" s="66">
        <f>'Entitlement Gantt Chart'!N64</f>
        <v>0</v>
      </c>
      <c r="O48" s="66">
        <f>'Entitlement Gantt Chart'!O64</f>
        <v>0</v>
      </c>
      <c r="P48" s="66">
        <f>'Entitlement Gantt Chart'!P64</f>
        <v>0</v>
      </c>
      <c r="Q48" s="66">
        <f>'Entitlement Gantt Chart'!Q64</f>
        <v>10000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66">
        <v>0</v>
      </c>
      <c r="AB48" s="66">
        <v>0</v>
      </c>
      <c r="AC48" s="66">
        <v>0</v>
      </c>
      <c r="AD48" s="66">
        <v>0</v>
      </c>
      <c r="AE48" s="66">
        <v>0</v>
      </c>
      <c r="AF48" s="66">
        <v>0</v>
      </c>
      <c r="AG48" s="66">
        <v>0</v>
      </c>
      <c r="AH48" s="66">
        <v>0</v>
      </c>
      <c r="AI48" s="66">
        <v>0</v>
      </c>
      <c r="AJ48" s="66">
        <v>0</v>
      </c>
      <c r="AK48" s="66">
        <v>0</v>
      </c>
      <c r="AL48" s="66">
        <v>0</v>
      </c>
      <c r="AM48" s="66">
        <v>0</v>
      </c>
      <c r="AN48" s="66">
        <v>0</v>
      </c>
      <c r="AO48" s="66">
        <v>0</v>
      </c>
      <c r="AP48" s="66">
        <v>0</v>
      </c>
      <c r="AQ48" s="66">
        <v>0</v>
      </c>
      <c r="AR48" s="66">
        <v>0</v>
      </c>
      <c r="AS48" s="66">
        <v>0</v>
      </c>
      <c r="AT48" s="66">
        <v>0</v>
      </c>
      <c r="AU48" s="66">
        <v>0</v>
      </c>
      <c r="AV48" s="66">
        <v>0</v>
      </c>
      <c r="AW48" s="66">
        <v>0</v>
      </c>
      <c r="AX48" s="66">
        <v>0</v>
      </c>
      <c r="AY48" s="66">
        <v>0</v>
      </c>
      <c r="AZ48" s="66">
        <v>0</v>
      </c>
      <c r="BA48" s="66">
        <v>0</v>
      </c>
      <c r="BB48" s="66">
        <v>0</v>
      </c>
      <c r="BC48" s="66">
        <v>0</v>
      </c>
      <c r="BD48" s="67">
        <f t="shared" si="24"/>
        <v>10000</v>
      </c>
      <c r="BG48" s="64">
        <f t="shared" si="25"/>
        <v>0</v>
      </c>
      <c r="BH48" s="64">
        <f t="shared" si="26"/>
        <v>10000</v>
      </c>
      <c r="BI48" s="64">
        <f t="shared" si="27"/>
        <v>0</v>
      </c>
      <c r="BJ48" s="64">
        <f t="shared" si="28"/>
        <v>0</v>
      </c>
      <c r="BK48" s="64">
        <f t="shared" si="29"/>
        <v>0</v>
      </c>
      <c r="BL48" s="64">
        <f t="shared" si="30"/>
        <v>0</v>
      </c>
      <c r="BM48" s="64">
        <f t="shared" si="31"/>
        <v>10000</v>
      </c>
    </row>
    <row r="49" spans="1:65">
      <c r="A49" s="100" t="s">
        <v>106</v>
      </c>
      <c r="E49" s="64">
        <v>0</v>
      </c>
      <c r="F49" s="66">
        <f>'Entitlement Gantt Chart'!F65</f>
        <v>0</v>
      </c>
      <c r="G49" s="66">
        <f>'Entitlement Gantt Chart'!G65</f>
        <v>0</v>
      </c>
      <c r="H49" s="66">
        <f>'Entitlement Gantt Chart'!H65</f>
        <v>0</v>
      </c>
      <c r="I49" s="66">
        <f>'Entitlement Gantt Chart'!I65</f>
        <v>0</v>
      </c>
      <c r="J49" s="66">
        <f>'Entitlement Gantt Chart'!J65</f>
        <v>0</v>
      </c>
      <c r="K49" s="66">
        <f>'Entitlement Gantt Chart'!K65</f>
        <v>0</v>
      </c>
      <c r="L49" s="66">
        <f>'Entitlement Gantt Chart'!L65</f>
        <v>0</v>
      </c>
      <c r="M49" s="66">
        <f>'Entitlement Gantt Chart'!M65</f>
        <v>0</v>
      </c>
      <c r="N49" s="66">
        <f>'Entitlement Gantt Chart'!N65</f>
        <v>10000</v>
      </c>
      <c r="O49" s="66">
        <f>'Entitlement Gantt Chart'!O65</f>
        <v>0</v>
      </c>
      <c r="P49" s="66">
        <f>'Entitlement Gantt Chart'!P65</f>
        <v>5000</v>
      </c>
      <c r="Q49" s="66">
        <f>'Entitlement Gantt Chart'!Q65</f>
        <v>0</v>
      </c>
      <c r="R49" s="66">
        <v>0</v>
      </c>
      <c r="S49" s="66">
        <v>0</v>
      </c>
      <c r="T49" s="66">
        <v>0</v>
      </c>
      <c r="U49" s="66">
        <v>0</v>
      </c>
      <c r="V49" s="66">
        <v>0</v>
      </c>
      <c r="W49" s="66">
        <v>0</v>
      </c>
      <c r="X49" s="66">
        <v>0</v>
      </c>
      <c r="Y49" s="66">
        <v>0</v>
      </c>
      <c r="Z49" s="66">
        <v>0</v>
      </c>
      <c r="AA49" s="66">
        <v>0</v>
      </c>
      <c r="AB49" s="66">
        <v>0</v>
      </c>
      <c r="AC49" s="66">
        <v>0</v>
      </c>
      <c r="AD49" s="66">
        <v>0</v>
      </c>
      <c r="AE49" s="66">
        <v>0</v>
      </c>
      <c r="AF49" s="66">
        <v>0</v>
      </c>
      <c r="AG49" s="66">
        <v>0</v>
      </c>
      <c r="AH49" s="66">
        <v>0</v>
      </c>
      <c r="AI49" s="66">
        <v>0</v>
      </c>
      <c r="AJ49" s="66">
        <v>0</v>
      </c>
      <c r="AK49" s="66">
        <v>0</v>
      </c>
      <c r="AL49" s="66">
        <v>0</v>
      </c>
      <c r="AM49" s="66">
        <v>0</v>
      </c>
      <c r="AN49" s="66">
        <v>0</v>
      </c>
      <c r="AO49" s="66">
        <v>0</v>
      </c>
      <c r="AP49" s="66">
        <v>0</v>
      </c>
      <c r="AQ49" s="66">
        <v>0</v>
      </c>
      <c r="AR49" s="66">
        <v>0</v>
      </c>
      <c r="AS49" s="66">
        <v>0</v>
      </c>
      <c r="AT49" s="66">
        <v>0</v>
      </c>
      <c r="AU49" s="66">
        <v>0</v>
      </c>
      <c r="AV49" s="66">
        <v>0</v>
      </c>
      <c r="AW49" s="66">
        <v>0</v>
      </c>
      <c r="AX49" s="66">
        <v>0</v>
      </c>
      <c r="AY49" s="66">
        <v>0</v>
      </c>
      <c r="AZ49" s="66">
        <v>0</v>
      </c>
      <c r="BA49" s="66">
        <v>0</v>
      </c>
      <c r="BB49" s="66">
        <v>0</v>
      </c>
      <c r="BC49" s="66">
        <v>0</v>
      </c>
      <c r="BD49" s="67">
        <f t="shared" si="24"/>
        <v>15000</v>
      </c>
      <c r="BG49" s="64">
        <f t="shared" si="25"/>
        <v>0</v>
      </c>
      <c r="BH49" s="64">
        <f t="shared" si="26"/>
        <v>15000</v>
      </c>
      <c r="BI49" s="64">
        <f t="shared" si="27"/>
        <v>0</v>
      </c>
      <c r="BJ49" s="64">
        <f t="shared" si="28"/>
        <v>0</v>
      </c>
      <c r="BK49" s="64">
        <f t="shared" si="29"/>
        <v>0</v>
      </c>
      <c r="BL49" s="64">
        <f t="shared" si="30"/>
        <v>0</v>
      </c>
      <c r="BM49" s="64">
        <f t="shared" si="31"/>
        <v>15000</v>
      </c>
    </row>
    <row r="50" spans="1:65">
      <c r="A50" s="110">
        <v>0.1</v>
      </c>
      <c r="E50" s="64">
        <v>0</v>
      </c>
      <c r="F50" s="66">
        <f t="shared" ref="F50:AX50" si="32">SUM(F27:F49)*$A$50</f>
        <v>37500</v>
      </c>
      <c r="G50" s="66">
        <f t="shared" si="32"/>
        <v>5000</v>
      </c>
      <c r="H50" s="66">
        <f t="shared" si="32"/>
        <v>5000</v>
      </c>
      <c r="I50" s="66">
        <f t="shared" si="32"/>
        <v>46500</v>
      </c>
      <c r="J50" s="66">
        <f t="shared" si="32"/>
        <v>1000</v>
      </c>
      <c r="K50" s="66">
        <f t="shared" si="32"/>
        <v>0</v>
      </c>
      <c r="L50" s="66">
        <f t="shared" si="32"/>
        <v>1000</v>
      </c>
      <c r="M50" s="66">
        <f t="shared" si="32"/>
        <v>21000</v>
      </c>
      <c r="N50" s="66">
        <f t="shared" si="32"/>
        <v>6000</v>
      </c>
      <c r="O50" s="66">
        <f t="shared" si="32"/>
        <v>6000</v>
      </c>
      <c r="P50" s="66">
        <f t="shared" si="32"/>
        <v>500</v>
      </c>
      <c r="Q50" s="66">
        <f t="shared" si="32"/>
        <v>1000</v>
      </c>
      <c r="R50" s="66">
        <f t="shared" si="32"/>
        <v>0</v>
      </c>
      <c r="S50" s="66">
        <f t="shared" si="32"/>
        <v>0</v>
      </c>
      <c r="T50" s="66">
        <f t="shared" si="32"/>
        <v>0</v>
      </c>
      <c r="U50" s="66">
        <f t="shared" si="32"/>
        <v>0</v>
      </c>
      <c r="V50" s="66">
        <f t="shared" si="32"/>
        <v>0</v>
      </c>
      <c r="W50" s="66">
        <f t="shared" si="32"/>
        <v>0</v>
      </c>
      <c r="X50" s="66">
        <f t="shared" si="32"/>
        <v>0</v>
      </c>
      <c r="Y50" s="66">
        <f t="shared" si="32"/>
        <v>0</v>
      </c>
      <c r="Z50" s="66">
        <f t="shared" si="32"/>
        <v>0</v>
      </c>
      <c r="AA50" s="66">
        <f t="shared" si="32"/>
        <v>0</v>
      </c>
      <c r="AB50" s="66">
        <f t="shared" si="32"/>
        <v>0</v>
      </c>
      <c r="AC50" s="66">
        <f t="shared" si="32"/>
        <v>0</v>
      </c>
      <c r="AD50" s="66">
        <f t="shared" si="32"/>
        <v>0</v>
      </c>
      <c r="AE50" s="66">
        <f t="shared" si="32"/>
        <v>0</v>
      </c>
      <c r="AF50" s="66">
        <f t="shared" si="32"/>
        <v>0</v>
      </c>
      <c r="AG50" s="66">
        <f t="shared" si="32"/>
        <v>0</v>
      </c>
      <c r="AH50" s="66">
        <f t="shared" si="32"/>
        <v>0</v>
      </c>
      <c r="AI50" s="66">
        <f t="shared" si="32"/>
        <v>0</v>
      </c>
      <c r="AJ50" s="66">
        <f t="shared" si="32"/>
        <v>0</v>
      </c>
      <c r="AK50" s="66">
        <f t="shared" si="32"/>
        <v>0</v>
      </c>
      <c r="AL50" s="66">
        <f t="shared" si="32"/>
        <v>0</v>
      </c>
      <c r="AM50" s="66">
        <f t="shared" si="32"/>
        <v>0</v>
      </c>
      <c r="AN50" s="66">
        <f t="shared" si="32"/>
        <v>0</v>
      </c>
      <c r="AO50" s="66">
        <f t="shared" si="32"/>
        <v>0</v>
      </c>
      <c r="AP50" s="66">
        <f t="shared" si="32"/>
        <v>0</v>
      </c>
      <c r="AQ50" s="66">
        <f t="shared" si="32"/>
        <v>0</v>
      </c>
      <c r="AR50" s="66">
        <f t="shared" si="32"/>
        <v>0</v>
      </c>
      <c r="AS50" s="66">
        <f t="shared" si="32"/>
        <v>0</v>
      </c>
      <c r="AT50" s="66">
        <f t="shared" si="32"/>
        <v>0</v>
      </c>
      <c r="AU50" s="66">
        <f t="shared" si="32"/>
        <v>0</v>
      </c>
      <c r="AV50" s="66">
        <f t="shared" si="32"/>
        <v>0</v>
      </c>
      <c r="AW50" s="66">
        <f t="shared" si="32"/>
        <v>0</v>
      </c>
      <c r="AX50" s="66">
        <f t="shared" si="32"/>
        <v>0</v>
      </c>
      <c r="AY50" s="66">
        <f t="shared" ref="AY50:BA50" si="33">SUM(AY27:AY49)*$A$50</f>
        <v>0</v>
      </c>
      <c r="AZ50" s="66">
        <f t="shared" si="33"/>
        <v>0</v>
      </c>
      <c r="BA50" s="66">
        <f t="shared" si="33"/>
        <v>0</v>
      </c>
      <c r="BB50" s="66">
        <f>SUM(BB27:BB49)*$A$50</f>
        <v>0</v>
      </c>
      <c r="BC50" s="66">
        <f>SUM(BC27:BC49)*$A$50</f>
        <v>0</v>
      </c>
      <c r="BD50" s="67">
        <f t="shared" si="24"/>
        <v>130500</v>
      </c>
      <c r="BG50" s="64">
        <f t="shared" si="25"/>
        <v>0</v>
      </c>
      <c r="BH50" s="64">
        <f t="shared" si="26"/>
        <v>130500</v>
      </c>
      <c r="BI50" s="64">
        <f t="shared" si="27"/>
        <v>0</v>
      </c>
      <c r="BJ50" s="64">
        <f t="shared" si="28"/>
        <v>0</v>
      </c>
      <c r="BK50" s="64">
        <f t="shared" si="29"/>
        <v>0</v>
      </c>
      <c r="BL50" s="64">
        <f t="shared" si="30"/>
        <v>0</v>
      </c>
      <c r="BM50" s="64">
        <f t="shared" si="31"/>
        <v>130500</v>
      </c>
    </row>
    <row r="51" spans="1:65">
      <c r="A51" s="1" t="s">
        <v>107</v>
      </c>
      <c r="E51" s="64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7"/>
      <c r="BG51" s="64"/>
      <c r="BH51" s="64"/>
      <c r="BI51" s="64"/>
      <c r="BJ51" s="64"/>
      <c r="BK51" s="64"/>
      <c r="BL51" s="64"/>
      <c r="BM51" s="64"/>
    </row>
    <row r="52" spans="1:65">
      <c r="A52" s="134" t="s">
        <v>173</v>
      </c>
      <c r="B52" s="115"/>
      <c r="C52" s="115"/>
      <c r="D52" s="115"/>
      <c r="E52" s="155">
        <v>0</v>
      </c>
      <c r="F52" s="155">
        <v>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6">
        <f>149946.27</f>
        <v>149946.27</v>
      </c>
      <c r="S52" s="156">
        <v>0</v>
      </c>
      <c r="T52" s="156">
        <v>0</v>
      </c>
      <c r="U52" s="156">
        <v>0</v>
      </c>
      <c r="V52" s="156">
        <v>0</v>
      </c>
      <c r="W52" s="156">
        <v>0</v>
      </c>
      <c r="X52" s="156">
        <v>0</v>
      </c>
      <c r="Y52" s="156">
        <v>0</v>
      </c>
      <c r="Z52" s="156">
        <v>0</v>
      </c>
      <c r="AA52" s="156">
        <v>0</v>
      </c>
      <c r="AB52" s="156">
        <v>0</v>
      </c>
      <c r="AC52" s="156">
        <v>0</v>
      </c>
      <c r="AD52" s="155">
        <v>0</v>
      </c>
      <c r="AE52" s="155">
        <v>0</v>
      </c>
      <c r="AF52" s="155">
        <v>0</v>
      </c>
      <c r="AG52" s="155">
        <v>0</v>
      </c>
      <c r="AH52" s="155">
        <v>0</v>
      </c>
      <c r="AI52" s="155">
        <v>0</v>
      </c>
      <c r="AJ52" s="155">
        <v>0</v>
      </c>
      <c r="AK52" s="155">
        <v>0</v>
      </c>
      <c r="AL52" s="155">
        <v>0</v>
      </c>
      <c r="AM52" s="155">
        <v>0</v>
      </c>
      <c r="AN52" s="155">
        <v>0</v>
      </c>
      <c r="AO52" s="155">
        <v>0</v>
      </c>
      <c r="AP52" s="155">
        <v>0</v>
      </c>
      <c r="AQ52" s="155">
        <v>0</v>
      </c>
      <c r="AR52" s="155">
        <v>0</v>
      </c>
      <c r="AS52" s="155">
        <v>0</v>
      </c>
      <c r="AT52" s="155">
        <v>0</v>
      </c>
      <c r="AU52" s="155">
        <v>0</v>
      </c>
      <c r="AV52" s="155">
        <v>0</v>
      </c>
      <c r="AW52" s="155">
        <v>0</v>
      </c>
      <c r="AX52" s="155">
        <v>0</v>
      </c>
      <c r="AY52" s="155">
        <v>0</v>
      </c>
      <c r="AZ52" s="155">
        <v>0</v>
      </c>
      <c r="BA52" s="155">
        <v>0</v>
      </c>
      <c r="BB52" s="155">
        <v>0</v>
      </c>
      <c r="BC52" s="155">
        <v>0</v>
      </c>
      <c r="BD52" s="157">
        <f t="shared" ref="BD52:BD66" si="34">SUM(E52:BC52)</f>
        <v>149946.27</v>
      </c>
      <c r="BE52" s="115"/>
      <c r="BF52" s="115"/>
      <c r="BG52" s="64">
        <f t="shared" ref="BG52:BG66" si="35">E52</f>
        <v>0</v>
      </c>
      <c r="BH52" s="64">
        <f t="shared" ref="BH52:BH66" si="36">SUM(F52:Q52)</f>
        <v>0</v>
      </c>
      <c r="BI52" s="64">
        <f t="shared" ref="BI52:BI66" si="37">SUM(R52:AC52)</f>
        <v>149946.27</v>
      </c>
      <c r="BJ52" s="64">
        <f t="shared" ref="BJ52:BJ66" si="38">SUM(AD52:AO52)</f>
        <v>0</v>
      </c>
      <c r="BK52" s="64">
        <f t="shared" si="29"/>
        <v>0</v>
      </c>
      <c r="BL52" s="64">
        <f t="shared" ref="BL52:BL79" si="39">SUM(BB52:BC52)</f>
        <v>0</v>
      </c>
      <c r="BM52" s="64">
        <f t="shared" ref="BM52:BM66" si="40">SUM(BG52:BL52)</f>
        <v>149946.27</v>
      </c>
    </row>
    <row r="53" spans="1:65">
      <c r="A53" s="134" t="s">
        <v>174</v>
      </c>
      <c r="B53" s="115"/>
      <c r="C53" s="115"/>
      <c r="D53" s="115"/>
      <c r="E53" s="155">
        <v>0</v>
      </c>
      <c r="F53" s="155">
        <v>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6">
        <v>0</v>
      </c>
      <c r="S53" s="156">
        <f>374865.69/2</f>
        <v>187432.845</v>
      </c>
      <c r="T53" s="156">
        <f>374865.69/2</f>
        <v>187432.845</v>
      </c>
      <c r="U53" s="156">
        <v>0</v>
      </c>
      <c r="V53" s="156">
        <v>0</v>
      </c>
      <c r="W53" s="156">
        <v>0</v>
      </c>
      <c r="X53" s="156">
        <v>0</v>
      </c>
      <c r="Y53" s="156">
        <v>0</v>
      </c>
      <c r="Z53" s="156">
        <v>0</v>
      </c>
      <c r="AA53" s="156">
        <v>0</v>
      </c>
      <c r="AB53" s="156">
        <v>0</v>
      </c>
      <c r="AC53" s="156">
        <v>0</v>
      </c>
      <c r="AD53" s="156">
        <v>0</v>
      </c>
      <c r="AE53" s="156">
        <v>0</v>
      </c>
      <c r="AF53" s="156">
        <v>0</v>
      </c>
      <c r="AG53" s="156">
        <v>0</v>
      </c>
      <c r="AH53" s="156">
        <v>0</v>
      </c>
      <c r="AI53" s="156">
        <v>0</v>
      </c>
      <c r="AJ53" s="156">
        <v>0</v>
      </c>
      <c r="AK53" s="156">
        <v>0</v>
      </c>
      <c r="AL53" s="156">
        <v>0</v>
      </c>
      <c r="AM53" s="156">
        <v>0</v>
      </c>
      <c r="AN53" s="156">
        <v>0</v>
      </c>
      <c r="AO53" s="156">
        <v>0</v>
      </c>
      <c r="AP53" s="156">
        <v>0</v>
      </c>
      <c r="AQ53" s="156">
        <v>0</v>
      </c>
      <c r="AR53" s="156">
        <v>0</v>
      </c>
      <c r="AS53" s="156">
        <v>0</v>
      </c>
      <c r="AT53" s="156">
        <v>0</v>
      </c>
      <c r="AU53" s="156">
        <v>0</v>
      </c>
      <c r="AV53" s="156">
        <v>0</v>
      </c>
      <c r="AW53" s="156">
        <v>0</v>
      </c>
      <c r="AX53" s="156">
        <v>0</v>
      </c>
      <c r="AY53" s="156">
        <v>0</v>
      </c>
      <c r="AZ53" s="156">
        <v>0</v>
      </c>
      <c r="BA53" s="156">
        <v>0</v>
      </c>
      <c r="BB53" s="156">
        <v>0</v>
      </c>
      <c r="BC53" s="156">
        <v>0</v>
      </c>
      <c r="BD53" s="157">
        <f t="shared" si="34"/>
        <v>374865.69</v>
      </c>
      <c r="BE53" s="115"/>
      <c r="BF53" s="115"/>
      <c r="BG53" s="64">
        <f t="shared" si="35"/>
        <v>0</v>
      </c>
      <c r="BH53" s="64">
        <f t="shared" si="36"/>
        <v>0</v>
      </c>
      <c r="BI53" s="64">
        <f t="shared" si="37"/>
        <v>374865.69</v>
      </c>
      <c r="BJ53" s="64">
        <f t="shared" si="38"/>
        <v>0</v>
      </c>
      <c r="BK53" s="64">
        <f t="shared" si="29"/>
        <v>0</v>
      </c>
      <c r="BL53" s="64">
        <f t="shared" si="39"/>
        <v>0</v>
      </c>
      <c r="BM53" s="64">
        <f t="shared" si="40"/>
        <v>374865.69</v>
      </c>
    </row>
    <row r="54" spans="1:65">
      <c r="A54" s="134" t="s">
        <v>175</v>
      </c>
      <c r="B54" s="115"/>
      <c r="C54" s="115"/>
      <c r="D54" s="115"/>
      <c r="E54" s="155">
        <v>0</v>
      </c>
      <c r="F54" s="155">
        <v>0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6">
        <v>0</v>
      </c>
      <c r="S54" s="156">
        <v>0</v>
      </c>
      <c r="T54" s="156">
        <f>1874328.36/5</f>
        <v>374865.672</v>
      </c>
      <c r="U54" s="156">
        <f>1874328.36/5</f>
        <v>374865.672</v>
      </c>
      <c r="V54" s="156">
        <f>1874328.36/5</f>
        <v>374865.672</v>
      </c>
      <c r="W54" s="156">
        <f>1874328.36/5</f>
        <v>374865.672</v>
      </c>
      <c r="X54" s="156">
        <f>1874328.36/5</f>
        <v>374865.672</v>
      </c>
      <c r="Y54" s="156">
        <v>0</v>
      </c>
      <c r="Z54" s="156">
        <v>0</v>
      </c>
      <c r="AA54" s="156">
        <v>0</v>
      </c>
      <c r="AB54" s="156">
        <v>0</v>
      </c>
      <c r="AC54" s="156">
        <v>0</v>
      </c>
      <c r="AD54" s="156">
        <v>0</v>
      </c>
      <c r="AE54" s="156">
        <v>0</v>
      </c>
      <c r="AF54" s="156">
        <v>0</v>
      </c>
      <c r="AG54" s="156">
        <v>0</v>
      </c>
      <c r="AH54" s="156">
        <v>0</v>
      </c>
      <c r="AI54" s="156">
        <v>0</v>
      </c>
      <c r="AJ54" s="156">
        <v>0</v>
      </c>
      <c r="AK54" s="156">
        <v>0</v>
      </c>
      <c r="AL54" s="156">
        <v>0</v>
      </c>
      <c r="AM54" s="156">
        <v>0</v>
      </c>
      <c r="AN54" s="156">
        <v>0</v>
      </c>
      <c r="AO54" s="156">
        <v>0</v>
      </c>
      <c r="AP54" s="156">
        <v>0</v>
      </c>
      <c r="AQ54" s="156">
        <v>0</v>
      </c>
      <c r="AR54" s="156">
        <v>0</v>
      </c>
      <c r="AS54" s="156">
        <v>0</v>
      </c>
      <c r="AT54" s="156">
        <v>0</v>
      </c>
      <c r="AU54" s="156">
        <v>0</v>
      </c>
      <c r="AV54" s="156">
        <v>0</v>
      </c>
      <c r="AW54" s="156">
        <v>0</v>
      </c>
      <c r="AX54" s="156">
        <v>0</v>
      </c>
      <c r="AY54" s="156">
        <v>0</v>
      </c>
      <c r="AZ54" s="156">
        <v>0</v>
      </c>
      <c r="BA54" s="156">
        <v>0</v>
      </c>
      <c r="BB54" s="156">
        <v>0</v>
      </c>
      <c r="BC54" s="156">
        <v>0</v>
      </c>
      <c r="BD54" s="157">
        <f t="shared" si="34"/>
        <v>1874328.36</v>
      </c>
      <c r="BE54" s="115"/>
      <c r="BF54" s="115"/>
      <c r="BG54" s="64">
        <f t="shared" si="35"/>
        <v>0</v>
      </c>
      <c r="BH54" s="64">
        <f t="shared" si="36"/>
        <v>0</v>
      </c>
      <c r="BI54" s="64">
        <f t="shared" si="37"/>
        <v>1874328.36</v>
      </c>
      <c r="BJ54" s="64">
        <f t="shared" si="38"/>
        <v>0</v>
      </c>
      <c r="BK54" s="64">
        <f t="shared" si="29"/>
        <v>0</v>
      </c>
      <c r="BL54" s="64">
        <f t="shared" si="39"/>
        <v>0</v>
      </c>
      <c r="BM54" s="64">
        <f t="shared" si="40"/>
        <v>1874328.36</v>
      </c>
    </row>
    <row r="55" spans="1:65">
      <c r="A55" s="134" t="s">
        <v>176</v>
      </c>
      <c r="B55" s="115"/>
      <c r="C55" s="115"/>
      <c r="D55" s="115"/>
      <c r="E55" s="155">
        <v>0</v>
      </c>
      <c r="F55" s="155">
        <v>0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6">
        <v>0</v>
      </c>
      <c r="S55" s="156">
        <v>0</v>
      </c>
      <c r="T55" s="156">
        <v>0</v>
      </c>
      <c r="U55" s="156">
        <v>0</v>
      </c>
      <c r="V55" s="156">
        <v>0</v>
      </c>
      <c r="W55" s="156">
        <v>0</v>
      </c>
      <c r="X55" s="156">
        <f t="shared" ref="X55:AC55" si="41">224919.4/6</f>
        <v>37486.5666666667</v>
      </c>
      <c r="Y55" s="156">
        <f t="shared" si="41"/>
        <v>37486.5666666667</v>
      </c>
      <c r="Z55" s="156">
        <f t="shared" si="41"/>
        <v>37486.5666666667</v>
      </c>
      <c r="AA55" s="156">
        <f t="shared" si="41"/>
        <v>37486.5666666667</v>
      </c>
      <c r="AB55" s="156">
        <f t="shared" si="41"/>
        <v>37486.5666666667</v>
      </c>
      <c r="AC55" s="156">
        <f t="shared" si="41"/>
        <v>37486.5666666667</v>
      </c>
      <c r="AD55" s="155">
        <v>0</v>
      </c>
      <c r="AE55" s="155">
        <v>0</v>
      </c>
      <c r="AF55" s="155">
        <v>0</v>
      </c>
      <c r="AG55" s="155">
        <v>0</v>
      </c>
      <c r="AH55" s="155">
        <v>0</v>
      </c>
      <c r="AI55" s="155">
        <v>0</v>
      </c>
      <c r="AJ55" s="155">
        <v>0</v>
      </c>
      <c r="AK55" s="155">
        <v>0</v>
      </c>
      <c r="AL55" s="155">
        <v>0</v>
      </c>
      <c r="AM55" s="155">
        <v>0</v>
      </c>
      <c r="AN55" s="155">
        <v>0</v>
      </c>
      <c r="AO55" s="155">
        <v>0</v>
      </c>
      <c r="AP55" s="155">
        <v>0</v>
      </c>
      <c r="AQ55" s="155">
        <v>0</v>
      </c>
      <c r="AR55" s="155">
        <v>0</v>
      </c>
      <c r="AS55" s="155">
        <v>0</v>
      </c>
      <c r="AT55" s="155">
        <v>0</v>
      </c>
      <c r="AU55" s="155">
        <v>0</v>
      </c>
      <c r="AV55" s="155">
        <v>0</v>
      </c>
      <c r="AW55" s="155">
        <v>0</v>
      </c>
      <c r="AX55" s="155">
        <v>0</v>
      </c>
      <c r="AY55" s="155">
        <v>0</v>
      </c>
      <c r="AZ55" s="155">
        <v>0</v>
      </c>
      <c r="BA55" s="155">
        <v>0</v>
      </c>
      <c r="BB55" s="155">
        <v>0</v>
      </c>
      <c r="BC55" s="155">
        <v>0</v>
      </c>
      <c r="BD55" s="157">
        <f t="shared" si="34"/>
        <v>224919.4</v>
      </c>
      <c r="BE55" s="115"/>
      <c r="BF55" s="115"/>
      <c r="BG55" s="64">
        <f t="shared" si="35"/>
        <v>0</v>
      </c>
      <c r="BH55" s="64">
        <f t="shared" si="36"/>
        <v>0</v>
      </c>
      <c r="BI55" s="64">
        <f t="shared" si="37"/>
        <v>224919.4</v>
      </c>
      <c r="BJ55" s="64">
        <f t="shared" si="38"/>
        <v>0</v>
      </c>
      <c r="BK55" s="64">
        <f t="shared" si="29"/>
        <v>0</v>
      </c>
      <c r="BL55" s="64">
        <f t="shared" si="39"/>
        <v>0</v>
      </c>
      <c r="BM55" s="64">
        <f t="shared" si="40"/>
        <v>224919.4</v>
      </c>
    </row>
    <row r="56" spans="1:65">
      <c r="A56" s="134" t="s">
        <v>177</v>
      </c>
      <c r="B56" s="115"/>
      <c r="C56" s="115"/>
      <c r="D56" s="115"/>
      <c r="E56" s="155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6">
        <v>0</v>
      </c>
      <c r="S56" s="156">
        <v>0</v>
      </c>
      <c r="T56" s="156">
        <f>374865.67/10/60*SUMMARY!$G$9</f>
        <v>54980.2982666667</v>
      </c>
      <c r="U56" s="156">
        <f>374865.67/10/60*SUMMARY!$G$9</f>
        <v>54980.2982666667</v>
      </c>
      <c r="V56" s="156">
        <f>374865.67/10/60*SUMMARY!$G$9</f>
        <v>54980.2982666667</v>
      </c>
      <c r="W56" s="156">
        <f>374865.67/10/60*SUMMARY!$G$9</f>
        <v>54980.2982666667</v>
      </c>
      <c r="X56" s="156">
        <f>374865.67/10/60*SUMMARY!$G$9</f>
        <v>54980.2982666667</v>
      </c>
      <c r="Y56" s="156">
        <f>374865.67/10/60*SUMMARY!$G$9</f>
        <v>54980.2982666667</v>
      </c>
      <c r="Z56" s="156">
        <f>374865.67/10/60*SUMMARY!$G$9</f>
        <v>54980.2982666667</v>
      </c>
      <c r="AA56" s="156">
        <f>374865.67/10/60*SUMMARY!$G$9</f>
        <v>54980.2982666667</v>
      </c>
      <c r="AB56" s="156">
        <f>374865.67/10/60*SUMMARY!$G$9</f>
        <v>54980.2982666667</v>
      </c>
      <c r="AC56" s="156">
        <f>374865.67/10/60*SUMMARY!$G$9</f>
        <v>54980.2982666667</v>
      </c>
      <c r="AD56" s="155">
        <v>0</v>
      </c>
      <c r="AE56" s="155">
        <v>0</v>
      </c>
      <c r="AF56" s="155">
        <v>0</v>
      </c>
      <c r="AG56" s="155">
        <v>0</v>
      </c>
      <c r="AH56" s="155">
        <v>0</v>
      </c>
      <c r="AI56" s="155">
        <v>0</v>
      </c>
      <c r="AJ56" s="155">
        <v>0</v>
      </c>
      <c r="AK56" s="155">
        <v>0</v>
      </c>
      <c r="AL56" s="155">
        <v>0</v>
      </c>
      <c r="AM56" s="155">
        <v>0</v>
      </c>
      <c r="AN56" s="155">
        <v>0</v>
      </c>
      <c r="AO56" s="155">
        <v>0</v>
      </c>
      <c r="AP56" s="155">
        <v>0</v>
      </c>
      <c r="AQ56" s="155">
        <v>0</v>
      </c>
      <c r="AR56" s="155">
        <v>0</v>
      </c>
      <c r="AS56" s="155">
        <v>0</v>
      </c>
      <c r="AT56" s="155">
        <v>0</v>
      </c>
      <c r="AU56" s="155">
        <v>0</v>
      </c>
      <c r="AV56" s="155">
        <v>0</v>
      </c>
      <c r="AW56" s="155">
        <v>0</v>
      </c>
      <c r="AX56" s="155">
        <v>0</v>
      </c>
      <c r="AY56" s="155">
        <v>0</v>
      </c>
      <c r="AZ56" s="155">
        <v>0</v>
      </c>
      <c r="BA56" s="155">
        <v>0</v>
      </c>
      <c r="BB56" s="155">
        <v>0</v>
      </c>
      <c r="BC56" s="155">
        <v>0</v>
      </c>
      <c r="BD56" s="157">
        <f t="shared" si="34"/>
        <v>549802.982666667</v>
      </c>
      <c r="BE56" s="115"/>
      <c r="BF56" s="115"/>
      <c r="BG56" s="64">
        <f t="shared" si="35"/>
        <v>0</v>
      </c>
      <c r="BH56" s="64">
        <f t="shared" si="36"/>
        <v>0</v>
      </c>
      <c r="BI56" s="64">
        <f t="shared" si="37"/>
        <v>549802.982666667</v>
      </c>
      <c r="BJ56" s="64">
        <f t="shared" si="38"/>
        <v>0</v>
      </c>
      <c r="BK56" s="64">
        <f t="shared" si="29"/>
        <v>0</v>
      </c>
      <c r="BL56" s="64">
        <f t="shared" si="39"/>
        <v>0</v>
      </c>
      <c r="BM56" s="64">
        <f t="shared" si="40"/>
        <v>549802.982666667</v>
      </c>
    </row>
    <row r="57" spans="1:65">
      <c r="A57" s="134" t="s">
        <v>178</v>
      </c>
      <c r="B57" s="115"/>
      <c r="C57" s="115"/>
      <c r="D57" s="115"/>
      <c r="E57" s="155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6">
        <v>0</v>
      </c>
      <c r="S57" s="156">
        <v>0</v>
      </c>
      <c r="T57" s="156">
        <f>524811.94/10/60*SUMMARY!$G$9</f>
        <v>76972.4178666667</v>
      </c>
      <c r="U57" s="156">
        <f>524811.94/10/60*SUMMARY!$G$9</f>
        <v>76972.4178666667</v>
      </c>
      <c r="V57" s="156">
        <f>524811.94/10/60*SUMMARY!$G$9</f>
        <v>76972.4178666667</v>
      </c>
      <c r="W57" s="156">
        <f>524811.94/10/60*SUMMARY!$G$9</f>
        <v>76972.4178666667</v>
      </c>
      <c r="X57" s="156">
        <f>524811.94/10/60*SUMMARY!$G$9</f>
        <v>76972.4178666667</v>
      </c>
      <c r="Y57" s="156">
        <f>524811.94/10/60*SUMMARY!$G$9</f>
        <v>76972.4178666667</v>
      </c>
      <c r="Z57" s="156">
        <f>524811.94/10/60*SUMMARY!$G$9</f>
        <v>76972.4178666667</v>
      </c>
      <c r="AA57" s="156">
        <f>524811.94/10/60*SUMMARY!$G$9</f>
        <v>76972.4178666667</v>
      </c>
      <c r="AB57" s="156">
        <f>524811.94/10/60*SUMMARY!$G$9</f>
        <v>76972.4178666667</v>
      </c>
      <c r="AC57" s="156">
        <f>524811.94/10/60*SUMMARY!$G$9</f>
        <v>76972.4178666667</v>
      </c>
      <c r="AD57" s="155">
        <v>0</v>
      </c>
      <c r="AE57" s="155">
        <v>0</v>
      </c>
      <c r="AF57" s="155">
        <v>0</v>
      </c>
      <c r="AG57" s="155">
        <v>0</v>
      </c>
      <c r="AH57" s="155">
        <v>0</v>
      </c>
      <c r="AI57" s="155">
        <v>0</v>
      </c>
      <c r="AJ57" s="155">
        <v>0</v>
      </c>
      <c r="AK57" s="155">
        <v>0</v>
      </c>
      <c r="AL57" s="155">
        <v>0</v>
      </c>
      <c r="AM57" s="155">
        <v>0</v>
      </c>
      <c r="AN57" s="155">
        <v>0</v>
      </c>
      <c r="AO57" s="155">
        <v>0</v>
      </c>
      <c r="AP57" s="155">
        <v>0</v>
      </c>
      <c r="AQ57" s="155">
        <v>0</v>
      </c>
      <c r="AR57" s="155">
        <v>0</v>
      </c>
      <c r="AS57" s="155">
        <v>0</v>
      </c>
      <c r="AT57" s="155">
        <v>0</v>
      </c>
      <c r="AU57" s="155">
        <v>0</v>
      </c>
      <c r="AV57" s="155">
        <v>0</v>
      </c>
      <c r="AW57" s="155">
        <v>0</v>
      </c>
      <c r="AX57" s="155">
        <v>0</v>
      </c>
      <c r="AY57" s="155">
        <v>0</v>
      </c>
      <c r="AZ57" s="155">
        <v>0</v>
      </c>
      <c r="BA57" s="155">
        <v>0</v>
      </c>
      <c r="BB57" s="155">
        <v>0</v>
      </c>
      <c r="BC57" s="155">
        <v>0</v>
      </c>
      <c r="BD57" s="157">
        <f t="shared" si="34"/>
        <v>769724.178666667</v>
      </c>
      <c r="BE57" s="115"/>
      <c r="BF57" s="115"/>
      <c r="BG57" s="64">
        <f t="shared" si="35"/>
        <v>0</v>
      </c>
      <c r="BH57" s="64">
        <f t="shared" si="36"/>
        <v>0</v>
      </c>
      <c r="BI57" s="64">
        <f t="shared" si="37"/>
        <v>769724.178666667</v>
      </c>
      <c r="BJ57" s="64">
        <f t="shared" si="38"/>
        <v>0</v>
      </c>
      <c r="BK57" s="64">
        <f t="shared" si="29"/>
        <v>0</v>
      </c>
      <c r="BL57" s="64">
        <f t="shared" si="39"/>
        <v>0</v>
      </c>
      <c r="BM57" s="64">
        <f t="shared" si="40"/>
        <v>769724.178666667</v>
      </c>
    </row>
    <row r="58" spans="1:65">
      <c r="A58" s="134" t="s">
        <v>179</v>
      </c>
      <c r="B58" s="115"/>
      <c r="C58" s="115"/>
      <c r="D58" s="115"/>
      <c r="E58" s="155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6">
        <v>0</v>
      </c>
      <c r="S58" s="156">
        <v>0</v>
      </c>
      <c r="T58" s="156">
        <f>599785.07/10</f>
        <v>59978.507</v>
      </c>
      <c r="U58" s="156">
        <f t="shared" ref="U58:AC58" si="42">599785.07/10</f>
        <v>59978.507</v>
      </c>
      <c r="V58" s="156">
        <f t="shared" si="42"/>
        <v>59978.507</v>
      </c>
      <c r="W58" s="156">
        <f t="shared" si="42"/>
        <v>59978.507</v>
      </c>
      <c r="X58" s="156">
        <f t="shared" si="42"/>
        <v>59978.507</v>
      </c>
      <c r="Y58" s="156">
        <f t="shared" si="42"/>
        <v>59978.507</v>
      </c>
      <c r="Z58" s="156">
        <f t="shared" si="42"/>
        <v>59978.507</v>
      </c>
      <c r="AA58" s="156">
        <f t="shared" si="42"/>
        <v>59978.507</v>
      </c>
      <c r="AB58" s="156">
        <f t="shared" si="42"/>
        <v>59978.507</v>
      </c>
      <c r="AC58" s="156">
        <f t="shared" si="42"/>
        <v>59978.507</v>
      </c>
      <c r="AD58" s="155">
        <v>0</v>
      </c>
      <c r="AE58" s="155">
        <v>0</v>
      </c>
      <c r="AF58" s="155">
        <v>0</v>
      </c>
      <c r="AG58" s="155">
        <v>0</v>
      </c>
      <c r="AH58" s="155">
        <v>0</v>
      </c>
      <c r="AI58" s="155">
        <v>0</v>
      </c>
      <c r="AJ58" s="155">
        <v>0</v>
      </c>
      <c r="AK58" s="155">
        <v>0</v>
      </c>
      <c r="AL58" s="155">
        <v>0</v>
      </c>
      <c r="AM58" s="155">
        <v>0</v>
      </c>
      <c r="AN58" s="155">
        <v>0</v>
      </c>
      <c r="AO58" s="155">
        <v>0</v>
      </c>
      <c r="AP58" s="155">
        <v>0</v>
      </c>
      <c r="AQ58" s="155">
        <v>0</v>
      </c>
      <c r="AR58" s="155">
        <v>0</v>
      </c>
      <c r="AS58" s="155">
        <v>0</v>
      </c>
      <c r="AT58" s="155">
        <v>0</v>
      </c>
      <c r="AU58" s="155">
        <v>0</v>
      </c>
      <c r="AV58" s="155">
        <v>0</v>
      </c>
      <c r="AW58" s="155">
        <v>0</v>
      </c>
      <c r="AX58" s="155">
        <v>0</v>
      </c>
      <c r="AY58" s="155">
        <v>0</v>
      </c>
      <c r="AZ58" s="155">
        <v>0</v>
      </c>
      <c r="BA58" s="155">
        <v>0</v>
      </c>
      <c r="BB58" s="155">
        <v>0</v>
      </c>
      <c r="BC58" s="155">
        <v>0</v>
      </c>
      <c r="BD58" s="157">
        <f t="shared" si="34"/>
        <v>599785.07</v>
      </c>
      <c r="BE58" s="115"/>
      <c r="BF58" s="115"/>
      <c r="BG58" s="64">
        <f t="shared" si="35"/>
        <v>0</v>
      </c>
      <c r="BH58" s="64">
        <f t="shared" si="36"/>
        <v>0</v>
      </c>
      <c r="BI58" s="64">
        <f t="shared" si="37"/>
        <v>599785.07</v>
      </c>
      <c r="BJ58" s="64">
        <f t="shared" si="38"/>
        <v>0</v>
      </c>
      <c r="BK58" s="64">
        <f t="shared" si="29"/>
        <v>0</v>
      </c>
      <c r="BL58" s="64">
        <f t="shared" si="39"/>
        <v>0</v>
      </c>
      <c r="BM58" s="64">
        <f t="shared" si="40"/>
        <v>599785.07</v>
      </c>
    </row>
    <row r="59" spans="1:65">
      <c r="A59" s="134" t="s">
        <v>180</v>
      </c>
      <c r="B59" s="115"/>
      <c r="C59" s="115"/>
      <c r="D59" s="115"/>
      <c r="E59" s="155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  <c r="R59" s="156">
        <v>0</v>
      </c>
      <c r="S59" s="156">
        <v>0</v>
      </c>
      <c r="T59" s="156">
        <f>374865.67/10/60*SUMMARY!$G$9</f>
        <v>54980.2982666667</v>
      </c>
      <c r="U59" s="156">
        <f>374865.67/10/60*SUMMARY!$G$9</f>
        <v>54980.2982666667</v>
      </c>
      <c r="V59" s="156">
        <f>374865.67/10/60*SUMMARY!$G$9</f>
        <v>54980.2982666667</v>
      </c>
      <c r="W59" s="156">
        <f>374865.67/10/60*SUMMARY!$G$9</f>
        <v>54980.2982666667</v>
      </c>
      <c r="X59" s="156">
        <f>374865.67/10/60*SUMMARY!$G$9</f>
        <v>54980.2982666667</v>
      </c>
      <c r="Y59" s="156">
        <f>374865.67/10/60*SUMMARY!$G$9</f>
        <v>54980.2982666667</v>
      </c>
      <c r="Z59" s="156">
        <f>374865.67/10/60*SUMMARY!$G$9</f>
        <v>54980.2982666667</v>
      </c>
      <c r="AA59" s="156">
        <f>374865.67/10/60*SUMMARY!$G$9</f>
        <v>54980.2982666667</v>
      </c>
      <c r="AB59" s="156">
        <f>374865.67/10/60*SUMMARY!$G$9</f>
        <v>54980.2982666667</v>
      </c>
      <c r="AC59" s="156">
        <f>374865.67/10/60*SUMMARY!$G$9</f>
        <v>54980.2982666667</v>
      </c>
      <c r="AD59" s="155">
        <v>0</v>
      </c>
      <c r="AE59" s="155">
        <v>0</v>
      </c>
      <c r="AF59" s="155">
        <v>0</v>
      </c>
      <c r="AG59" s="155">
        <v>0</v>
      </c>
      <c r="AH59" s="155">
        <v>0</v>
      </c>
      <c r="AI59" s="155">
        <v>0</v>
      </c>
      <c r="AJ59" s="155">
        <v>0</v>
      </c>
      <c r="AK59" s="155">
        <v>0</v>
      </c>
      <c r="AL59" s="155">
        <v>0</v>
      </c>
      <c r="AM59" s="155">
        <v>0</v>
      </c>
      <c r="AN59" s="155">
        <v>0</v>
      </c>
      <c r="AO59" s="155">
        <v>0</v>
      </c>
      <c r="AP59" s="155">
        <v>0</v>
      </c>
      <c r="AQ59" s="155">
        <v>0</v>
      </c>
      <c r="AR59" s="155">
        <v>0</v>
      </c>
      <c r="AS59" s="155">
        <v>0</v>
      </c>
      <c r="AT59" s="155">
        <v>0</v>
      </c>
      <c r="AU59" s="155">
        <v>0</v>
      </c>
      <c r="AV59" s="155">
        <v>0</v>
      </c>
      <c r="AW59" s="155">
        <v>0</v>
      </c>
      <c r="AX59" s="155">
        <v>0</v>
      </c>
      <c r="AY59" s="155">
        <v>0</v>
      </c>
      <c r="AZ59" s="155">
        <v>0</v>
      </c>
      <c r="BA59" s="155">
        <v>0</v>
      </c>
      <c r="BB59" s="155">
        <v>0</v>
      </c>
      <c r="BC59" s="155">
        <v>0</v>
      </c>
      <c r="BD59" s="157">
        <f t="shared" si="34"/>
        <v>549802.982666667</v>
      </c>
      <c r="BE59" s="115"/>
      <c r="BF59" s="115"/>
      <c r="BG59" s="64">
        <f t="shared" si="35"/>
        <v>0</v>
      </c>
      <c r="BH59" s="64">
        <f t="shared" si="36"/>
        <v>0</v>
      </c>
      <c r="BI59" s="64">
        <f t="shared" si="37"/>
        <v>549802.982666667</v>
      </c>
      <c r="BJ59" s="64">
        <f t="shared" si="38"/>
        <v>0</v>
      </c>
      <c r="BK59" s="64">
        <f t="shared" si="29"/>
        <v>0</v>
      </c>
      <c r="BL59" s="64">
        <f t="shared" si="39"/>
        <v>0</v>
      </c>
      <c r="BM59" s="64">
        <f t="shared" si="40"/>
        <v>549802.982666667</v>
      </c>
    </row>
    <row r="60" spans="1:65">
      <c r="A60" s="134" t="s">
        <v>181</v>
      </c>
      <c r="B60" s="115"/>
      <c r="C60" s="115"/>
      <c r="D60" s="115"/>
      <c r="E60" s="155">
        <v>0</v>
      </c>
      <c r="F60" s="155">
        <v>0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6">
        <v>0</v>
      </c>
      <c r="S60" s="156">
        <v>0</v>
      </c>
      <c r="T60" s="156">
        <f>112459.7/10</f>
        <v>11245.97</v>
      </c>
      <c r="U60" s="156">
        <f t="shared" ref="U60:AC60" si="43">112459.7/10</f>
        <v>11245.97</v>
      </c>
      <c r="V60" s="156">
        <f t="shared" si="43"/>
        <v>11245.97</v>
      </c>
      <c r="W60" s="156">
        <f t="shared" si="43"/>
        <v>11245.97</v>
      </c>
      <c r="X60" s="156">
        <f t="shared" si="43"/>
        <v>11245.97</v>
      </c>
      <c r="Y60" s="156">
        <f t="shared" si="43"/>
        <v>11245.97</v>
      </c>
      <c r="Z60" s="156">
        <f t="shared" si="43"/>
        <v>11245.97</v>
      </c>
      <c r="AA60" s="156">
        <f t="shared" si="43"/>
        <v>11245.97</v>
      </c>
      <c r="AB60" s="156">
        <f t="shared" si="43"/>
        <v>11245.97</v>
      </c>
      <c r="AC60" s="156">
        <f t="shared" si="43"/>
        <v>11245.97</v>
      </c>
      <c r="AD60" s="155">
        <v>0</v>
      </c>
      <c r="AE60" s="155">
        <v>0</v>
      </c>
      <c r="AF60" s="155">
        <v>0</v>
      </c>
      <c r="AG60" s="155">
        <v>0</v>
      </c>
      <c r="AH60" s="155">
        <v>0</v>
      </c>
      <c r="AI60" s="155">
        <v>0</v>
      </c>
      <c r="AJ60" s="155">
        <v>0</v>
      </c>
      <c r="AK60" s="155">
        <v>0</v>
      </c>
      <c r="AL60" s="155">
        <v>0</v>
      </c>
      <c r="AM60" s="155">
        <v>0</v>
      </c>
      <c r="AN60" s="155">
        <v>0</v>
      </c>
      <c r="AO60" s="155">
        <v>0</v>
      </c>
      <c r="AP60" s="155">
        <v>0</v>
      </c>
      <c r="AQ60" s="155">
        <v>0</v>
      </c>
      <c r="AR60" s="155">
        <v>0</v>
      </c>
      <c r="AS60" s="155">
        <v>0</v>
      </c>
      <c r="AT60" s="155">
        <v>0</v>
      </c>
      <c r="AU60" s="155">
        <v>0</v>
      </c>
      <c r="AV60" s="155">
        <v>0</v>
      </c>
      <c r="AW60" s="155">
        <v>0</v>
      </c>
      <c r="AX60" s="155">
        <v>0</v>
      </c>
      <c r="AY60" s="155">
        <v>0</v>
      </c>
      <c r="AZ60" s="155">
        <v>0</v>
      </c>
      <c r="BA60" s="155">
        <v>0</v>
      </c>
      <c r="BB60" s="155">
        <v>0</v>
      </c>
      <c r="BC60" s="155">
        <v>0</v>
      </c>
      <c r="BD60" s="157">
        <f t="shared" si="34"/>
        <v>112459.7</v>
      </c>
      <c r="BE60" s="115"/>
      <c r="BF60" s="115"/>
      <c r="BG60" s="64">
        <f t="shared" si="35"/>
        <v>0</v>
      </c>
      <c r="BH60" s="64">
        <f t="shared" si="36"/>
        <v>0</v>
      </c>
      <c r="BI60" s="64">
        <f t="shared" si="37"/>
        <v>112459.7</v>
      </c>
      <c r="BJ60" s="64">
        <f t="shared" si="38"/>
        <v>0</v>
      </c>
      <c r="BK60" s="64">
        <f t="shared" si="29"/>
        <v>0</v>
      </c>
      <c r="BL60" s="64">
        <f t="shared" si="39"/>
        <v>0</v>
      </c>
      <c r="BM60" s="64">
        <f t="shared" si="40"/>
        <v>112459.7</v>
      </c>
    </row>
    <row r="61" spans="1:65">
      <c r="A61" s="134" t="s">
        <v>182</v>
      </c>
      <c r="B61" s="115"/>
      <c r="C61" s="115"/>
      <c r="D61" s="115"/>
      <c r="E61" s="155">
        <v>0</v>
      </c>
      <c r="F61" s="155">
        <v>0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6">
        <v>0</v>
      </c>
      <c r="S61" s="156">
        <v>0</v>
      </c>
      <c r="T61" s="156">
        <v>0</v>
      </c>
      <c r="U61" s="156">
        <v>0</v>
      </c>
      <c r="V61" s="156">
        <v>0</v>
      </c>
      <c r="W61" s="156">
        <v>0</v>
      </c>
      <c r="X61" s="156">
        <v>0</v>
      </c>
      <c r="Y61" s="156">
        <f>200000/5</f>
        <v>40000</v>
      </c>
      <c r="Z61" s="156">
        <f>200000/5</f>
        <v>40000</v>
      </c>
      <c r="AA61" s="156">
        <f>200000/5</f>
        <v>40000</v>
      </c>
      <c r="AB61" s="156">
        <f>200000/5</f>
        <v>40000</v>
      </c>
      <c r="AC61" s="156">
        <f>200000/5</f>
        <v>40000</v>
      </c>
      <c r="AD61" s="155">
        <v>0</v>
      </c>
      <c r="AE61" s="155">
        <v>0</v>
      </c>
      <c r="AF61" s="155">
        <v>0</v>
      </c>
      <c r="AG61" s="155">
        <v>0</v>
      </c>
      <c r="AH61" s="155">
        <v>0</v>
      </c>
      <c r="AI61" s="155">
        <v>0</v>
      </c>
      <c r="AJ61" s="155">
        <v>0</v>
      </c>
      <c r="AK61" s="155">
        <v>0</v>
      </c>
      <c r="AL61" s="155">
        <v>0</v>
      </c>
      <c r="AM61" s="155">
        <v>0</v>
      </c>
      <c r="AN61" s="155">
        <v>0</v>
      </c>
      <c r="AO61" s="155">
        <v>0</v>
      </c>
      <c r="AP61" s="155">
        <v>0</v>
      </c>
      <c r="AQ61" s="155">
        <v>0</v>
      </c>
      <c r="AR61" s="155">
        <v>0</v>
      </c>
      <c r="AS61" s="155">
        <v>0</v>
      </c>
      <c r="AT61" s="155">
        <v>0</v>
      </c>
      <c r="AU61" s="155">
        <v>0</v>
      </c>
      <c r="AV61" s="155">
        <v>0</v>
      </c>
      <c r="AW61" s="155">
        <v>0</v>
      </c>
      <c r="AX61" s="155">
        <v>0</v>
      </c>
      <c r="AY61" s="155">
        <v>0</v>
      </c>
      <c r="AZ61" s="155">
        <v>0</v>
      </c>
      <c r="BA61" s="155">
        <v>0</v>
      </c>
      <c r="BB61" s="155">
        <v>0</v>
      </c>
      <c r="BC61" s="155">
        <v>0</v>
      </c>
      <c r="BD61" s="157">
        <f t="shared" si="34"/>
        <v>200000</v>
      </c>
      <c r="BE61" s="115"/>
      <c r="BF61" s="115"/>
      <c r="BG61" s="64">
        <f t="shared" si="35"/>
        <v>0</v>
      </c>
      <c r="BH61" s="64">
        <f t="shared" si="36"/>
        <v>0</v>
      </c>
      <c r="BI61" s="64">
        <f t="shared" si="37"/>
        <v>200000</v>
      </c>
      <c r="BJ61" s="64">
        <f t="shared" si="38"/>
        <v>0</v>
      </c>
      <c r="BK61" s="64">
        <f t="shared" si="29"/>
        <v>0</v>
      </c>
      <c r="BL61" s="64">
        <f t="shared" si="39"/>
        <v>0</v>
      </c>
      <c r="BM61" s="64">
        <f t="shared" si="40"/>
        <v>200000</v>
      </c>
    </row>
    <row r="62" spans="1:65">
      <c r="A62" s="134" t="s">
        <v>309</v>
      </c>
      <c r="B62" s="115"/>
      <c r="C62" s="115"/>
      <c r="D62" s="115"/>
      <c r="E62" s="155">
        <v>0</v>
      </c>
      <c r="F62" s="155">
        <v>0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5">
        <v>0</v>
      </c>
      <c r="P62" s="155">
        <v>0</v>
      </c>
      <c r="Q62" s="155">
        <v>0</v>
      </c>
      <c r="R62" s="156">
        <v>0</v>
      </c>
      <c r="S62" s="156">
        <v>0</v>
      </c>
      <c r="T62" s="156">
        <v>0</v>
      </c>
      <c r="U62" s="156">
        <f>899678/9/60*SUMMARY!$G$9</f>
        <v>146614.192592593</v>
      </c>
      <c r="V62" s="156">
        <f>899678/9/60*SUMMARY!$G$9</f>
        <v>146614.192592593</v>
      </c>
      <c r="W62" s="156">
        <f>899678/9/60*SUMMARY!$G$9</f>
        <v>146614.192592593</v>
      </c>
      <c r="X62" s="156">
        <f>899678/9/60*SUMMARY!$G$9</f>
        <v>146614.192592593</v>
      </c>
      <c r="Y62" s="156">
        <f>899678/9/60*SUMMARY!$G$9</f>
        <v>146614.192592593</v>
      </c>
      <c r="Z62" s="156">
        <f>899678/9/60*SUMMARY!$G$9</f>
        <v>146614.192592593</v>
      </c>
      <c r="AA62" s="156">
        <f>899678/9/60*SUMMARY!$G$9</f>
        <v>146614.192592593</v>
      </c>
      <c r="AB62" s="156">
        <f>899678/9/60*SUMMARY!$G$9</f>
        <v>146614.192592593</v>
      </c>
      <c r="AC62" s="156">
        <f>899678/9/60*SUMMARY!$G$9</f>
        <v>146614.192592593</v>
      </c>
      <c r="AD62" s="155">
        <v>0</v>
      </c>
      <c r="AE62" s="155">
        <v>0</v>
      </c>
      <c r="AF62" s="155">
        <v>0</v>
      </c>
      <c r="AG62" s="155">
        <v>0</v>
      </c>
      <c r="AH62" s="155">
        <v>0</v>
      </c>
      <c r="AI62" s="155">
        <v>0</v>
      </c>
      <c r="AJ62" s="155">
        <v>0</v>
      </c>
      <c r="AK62" s="155">
        <v>0</v>
      </c>
      <c r="AL62" s="155">
        <v>0</v>
      </c>
      <c r="AM62" s="155">
        <v>0</v>
      </c>
      <c r="AN62" s="155">
        <v>0</v>
      </c>
      <c r="AO62" s="155">
        <v>0</v>
      </c>
      <c r="AP62" s="155">
        <v>0</v>
      </c>
      <c r="AQ62" s="155">
        <v>0</v>
      </c>
      <c r="AR62" s="155">
        <v>0</v>
      </c>
      <c r="AS62" s="155">
        <v>0</v>
      </c>
      <c r="AT62" s="155">
        <v>0</v>
      </c>
      <c r="AU62" s="155">
        <v>0</v>
      </c>
      <c r="AV62" s="155">
        <v>0</v>
      </c>
      <c r="AW62" s="155">
        <v>0</v>
      </c>
      <c r="AX62" s="155">
        <v>0</v>
      </c>
      <c r="AY62" s="155">
        <v>0</v>
      </c>
      <c r="AZ62" s="155">
        <v>0</v>
      </c>
      <c r="BA62" s="155">
        <v>0</v>
      </c>
      <c r="BB62" s="155">
        <v>0</v>
      </c>
      <c r="BC62" s="155">
        <v>0</v>
      </c>
      <c r="BD62" s="157">
        <f t="shared" si="34"/>
        <v>1319527.73333333</v>
      </c>
      <c r="BE62" s="115"/>
      <c r="BF62" s="115"/>
      <c r="BG62" s="64">
        <f t="shared" si="35"/>
        <v>0</v>
      </c>
      <c r="BH62" s="64">
        <f t="shared" si="36"/>
        <v>0</v>
      </c>
      <c r="BI62" s="64">
        <f t="shared" si="37"/>
        <v>1319527.73333333</v>
      </c>
      <c r="BJ62" s="64">
        <f t="shared" si="38"/>
        <v>0</v>
      </c>
      <c r="BK62" s="64">
        <f t="shared" si="29"/>
        <v>0</v>
      </c>
      <c r="BL62" s="64">
        <f t="shared" si="39"/>
        <v>0</v>
      </c>
      <c r="BM62" s="64">
        <f t="shared" si="40"/>
        <v>1319527.73333333</v>
      </c>
    </row>
    <row r="63" spans="1:65">
      <c r="A63" s="134" t="s">
        <v>183</v>
      </c>
      <c r="B63" s="115"/>
      <c r="C63" s="115"/>
      <c r="D63" s="115"/>
      <c r="E63" s="155">
        <v>0</v>
      </c>
      <c r="F63" s="155">
        <v>0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6">
        <v>0</v>
      </c>
      <c r="S63" s="156">
        <v>0</v>
      </c>
      <c r="T63" s="156">
        <v>0</v>
      </c>
      <c r="U63" s="156">
        <v>0</v>
      </c>
      <c r="V63" s="156">
        <v>0</v>
      </c>
      <c r="W63" s="156">
        <v>0</v>
      </c>
      <c r="X63" s="156">
        <v>0</v>
      </c>
      <c r="Y63" s="156">
        <f>500000/5</f>
        <v>100000</v>
      </c>
      <c r="Z63" s="156">
        <f>500000/5</f>
        <v>100000</v>
      </c>
      <c r="AA63" s="156">
        <f>500000/5</f>
        <v>100000</v>
      </c>
      <c r="AB63" s="156">
        <f>500000/5</f>
        <v>100000</v>
      </c>
      <c r="AC63" s="156">
        <f>500000/5</f>
        <v>100000</v>
      </c>
      <c r="AD63" s="155">
        <v>0</v>
      </c>
      <c r="AE63" s="155">
        <v>0</v>
      </c>
      <c r="AF63" s="155">
        <v>0</v>
      </c>
      <c r="AG63" s="155">
        <v>0</v>
      </c>
      <c r="AH63" s="155">
        <v>0</v>
      </c>
      <c r="AI63" s="155">
        <v>0</v>
      </c>
      <c r="AJ63" s="155">
        <v>0</v>
      </c>
      <c r="AK63" s="155">
        <v>0</v>
      </c>
      <c r="AL63" s="155">
        <v>0</v>
      </c>
      <c r="AM63" s="155">
        <v>0</v>
      </c>
      <c r="AN63" s="155">
        <v>0</v>
      </c>
      <c r="AO63" s="155">
        <v>0</v>
      </c>
      <c r="AP63" s="155">
        <v>0</v>
      </c>
      <c r="AQ63" s="155">
        <v>0</v>
      </c>
      <c r="AR63" s="155">
        <v>0</v>
      </c>
      <c r="AS63" s="155">
        <v>0</v>
      </c>
      <c r="AT63" s="155">
        <v>0</v>
      </c>
      <c r="AU63" s="155">
        <v>0</v>
      </c>
      <c r="AV63" s="155">
        <v>0</v>
      </c>
      <c r="AW63" s="155">
        <v>0</v>
      </c>
      <c r="AX63" s="155">
        <v>0</v>
      </c>
      <c r="AY63" s="155">
        <v>0</v>
      </c>
      <c r="AZ63" s="155">
        <v>0</v>
      </c>
      <c r="BA63" s="155">
        <v>0</v>
      </c>
      <c r="BB63" s="155">
        <v>0</v>
      </c>
      <c r="BC63" s="155">
        <v>0</v>
      </c>
      <c r="BD63" s="157">
        <f t="shared" si="34"/>
        <v>500000</v>
      </c>
      <c r="BE63" s="115"/>
      <c r="BF63" s="115"/>
      <c r="BG63" s="64">
        <f t="shared" si="35"/>
        <v>0</v>
      </c>
      <c r="BH63" s="64">
        <f t="shared" si="36"/>
        <v>0</v>
      </c>
      <c r="BI63" s="64">
        <f t="shared" si="37"/>
        <v>500000</v>
      </c>
      <c r="BJ63" s="64">
        <f t="shared" si="38"/>
        <v>0</v>
      </c>
      <c r="BK63" s="64">
        <f t="shared" si="29"/>
        <v>0</v>
      </c>
      <c r="BL63" s="64">
        <f t="shared" si="39"/>
        <v>0</v>
      </c>
      <c r="BM63" s="64">
        <f t="shared" si="40"/>
        <v>500000</v>
      </c>
    </row>
    <row r="64" spans="1:65">
      <c r="A64" s="134" t="s">
        <v>184</v>
      </c>
      <c r="B64" s="115"/>
      <c r="C64" s="115"/>
      <c r="D64" s="115"/>
      <c r="E64" s="155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6">
        <v>0</v>
      </c>
      <c r="S64" s="156">
        <v>0</v>
      </c>
      <c r="T64" s="156">
        <v>0</v>
      </c>
      <c r="U64" s="156">
        <f t="shared" ref="U64:AC64" si="44">100000/9</f>
        <v>11111.1111111111</v>
      </c>
      <c r="V64" s="156">
        <f t="shared" si="44"/>
        <v>11111.1111111111</v>
      </c>
      <c r="W64" s="156">
        <f t="shared" si="44"/>
        <v>11111.1111111111</v>
      </c>
      <c r="X64" s="156">
        <f t="shared" si="44"/>
        <v>11111.1111111111</v>
      </c>
      <c r="Y64" s="156">
        <f t="shared" si="44"/>
        <v>11111.1111111111</v>
      </c>
      <c r="Z64" s="156">
        <f t="shared" si="44"/>
        <v>11111.1111111111</v>
      </c>
      <c r="AA64" s="156">
        <f t="shared" si="44"/>
        <v>11111.1111111111</v>
      </c>
      <c r="AB64" s="156">
        <f t="shared" si="44"/>
        <v>11111.1111111111</v>
      </c>
      <c r="AC64" s="156">
        <f t="shared" si="44"/>
        <v>11111.1111111111</v>
      </c>
      <c r="AD64" s="155">
        <v>0</v>
      </c>
      <c r="AE64" s="155">
        <v>0</v>
      </c>
      <c r="AF64" s="155">
        <v>0</v>
      </c>
      <c r="AG64" s="155">
        <v>0</v>
      </c>
      <c r="AH64" s="155">
        <v>0</v>
      </c>
      <c r="AI64" s="155">
        <v>0</v>
      </c>
      <c r="AJ64" s="155">
        <v>0</v>
      </c>
      <c r="AK64" s="155">
        <v>0</v>
      </c>
      <c r="AL64" s="155">
        <v>0</v>
      </c>
      <c r="AM64" s="155">
        <v>0</v>
      </c>
      <c r="AN64" s="155">
        <v>0</v>
      </c>
      <c r="AO64" s="155">
        <v>0</v>
      </c>
      <c r="AP64" s="155">
        <v>0</v>
      </c>
      <c r="AQ64" s="155">
        <v>0</v>
      </c>
      <c r="AR64" s="155">
        <v>0</v>
      </c>
      <c r="AS64" s="155">
        <v>0</v>
      </c>
      <c r="AT64" s="155">
        <v>0</v>
      </c>
      <c r="AU64" s="155">
        <v>0</v>
      </c>
      <c r="AV64" s="155">
        <v>0</v>
      </c>
      <c r="AW64" s="155">
        <v>0</v>
      </c>
      <c r="AX64" s="155">
        <v>0</v>
      </c>
      <c r="AY64" s="155">
        <v>0</v>
      </c>
      <c r="AZ64" s="155">
        <v>0</v>
      </c>
      <c r="BA64" s="155">
        <v>0</v>
      </c>
      <c r="BB64" s="155">
        <v>0</v>
      </c>
      <c r="BC64" s="155">
        <v>0</v>
      </c>
      <c r="BD64" s="157">
        <f t="shared" si="34"/>
        <v>100000</v>
      </c>
      <c r="BE64" s="115"/>
      <c r="BF64" s="115"/>
      <c r="BG64" s="64">
        <f t="shared" si="35"/>
        <v>0</v>
      </c>
      <c r="BH64" s="64">
        <f t="shared" si="36"/>
        <v>0</v>
      </c>
      <c r="BI64" s="64">
        <f t="shared" si="37"/>
        <v>100000</v>
      </c>
      <c r="BJ64" s="64">
        <f t="shared" si="38"/>
        <v>0</v>
      </c>
      <c r="BK64" s="64">
        <f t="shared" si="29"/>
        <v>0</v>
      </c>
      <c r="BL64" s="64">
        <f t="shared" si="39"/>
        <v>0</v>
      </c>
      <c r="BM64" s="64">
        <f t="shared" si="40"/>
        <v>100000</v>
      </c>
    </row>
    <row r="65" spans="1:65">
      <c r="A65" s="134" t="s">
        <v>185</v>
      </c>
      <c r="B65" s="115"/>
      <c r="C65" s="115"/>
      <c r="D65" s="115"/>
      <c r="E65" s="155">
        <v>0</v>
      </c>
      <c r="F65" s="155">
        <v>0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6">
        <v>0</v>
      </c>
      <c r="S65" s="156">
        <v>0</v>
      </c>
      <c r="T65" s="156">
        <v>0</v>
      </c>
      <c r="U65" s="156">
        <v>0</v>
      </c>
      <c r="V65" s="156">
        <v>0</v>
      </c>
      <c r="W65" s="156">
        <v>0</v>
      </c>
      <c r="X65" s="156">
        <v>0</v>
      </c>
      <c r="Y65" s="156">
        <v>0</v>
      </c>
      <c r="Z65" s="156">
        <v>0</v>
      </c>
      <c r="AA65" s="156">
        <f>100000/3/60*SUMMARY!$G$9</f>
        <v>48888.8888888889</v>
      </c>
      <c r="AB65" s="156">
        <f>100000/3/60*SUMMARY!$G$9</f>
        <v>48888.8888888889</v>
      </c>
      <c r="AC65" s="156">
        <f>100000/3/60*SUMMARY!$G$9</f>
        <v>48888.8888888889</v>
      </c>
      <c r="AD65" s="155">
        <v>0</v>
      </c>
      <c r="AE65" s="155">
        <v>0</v>
      </c>
      <c r="AF65" s="155">
        <v>0</v>
      </c>
      <c r="AG65" s="155">
        <v>0</v>
      </c>
      <c r="AH65" s="155">
        <v>0</v>
      </c>
      <c r="AI65" s="155">
        <v>0</v>
      </c>
      <c r="AJ65" s="155">
        <v>0</v>
      </c>
      <c r="AK65" s="155">
        <v>0</v>
      </c>
      <c r="AL65" s="155">
        <v>0</v>
      </c>
      <c r="AM65" s="155">
        <v>0</v>
      </c>
      <c r="AN65" s="155">
        <v>0</v>
      </c>
      <c r="AO65" s="155">
        <v>0</v>
      </c>
      <c r="AP65" s="155">
        <v>0</v>
      </c>
      <c r="AQ65" s="155">
        <v>0</v>
      </c>
      <c r="AR65" s="155">
        <v>0</v>
      </c>
      <c r="AS65" s="155">
        <v>0</v>
      </c>
      <c r="AT65" s="155">
        <v>0</v>
      </c>
      <c r="AU65" s="155">
        <v>0</v>
      </c>
      <c r="AV65" s="155">
        <v>0</v>
      </c>
      <c r="AW65" s="155">
        <v>0</v>
      </c>
      <c r="AX65" s="155">
        <v>0</v>
      </c>
      <c r="AY65" s="155">
        <v>0</v>
      </c>
      <c r="AZ65" s="155">
        <v>0</v>
      </c>
      <c r="BA65" s="155">
        <v>0</v>
      </c>
      <c r="BB65" s="155">
        <v>0</v>
      </c>
      <c r="BC65" s="155">
        <v>0</v>
      </c>
      <c r="BD65" s="157">
        <f t="shared" si="34"/>
        <v>146666.666666667</v>
      </c>
      <c r="BE65" s="115"/>
      <c r="BF65" s="115"/>
      <c r="BG65" s="64">
        <f t="shared" si="35"/>
        <v>0</v>
      </c>
      <c r="BH65" s="64">
        <f t="shared" si="36"/>
        <v>0</v>
      </c>
      <c r="BI65" s="64">
        <f t="shared" si="37"/>
        <v>146666.666666667</v>
      </c>
      <c r="BJ65" s="64">
        <f t="shared" si="38"/>
        <v>0</v>
      </c>
      <c r="BK65" s="64">
        <f t="shared" si="29"/>
        <v>0</v>
      </c>
      <c r="BL65" s="64">
        <f t="shared" si="39"/>
        <v>0</v>
      </c>
      <c r="BM65" s="64">
        <f t="shared" si="40"/>
        <v>146666.666666667</v>
      </c>
    </row>
    <row r="66" spans="1:65">
      <c r="A66" s="110">
        <v>0.1</v>
      </c>
      <c r="B66" s="115"/>
      <c r="C66" s="115"/>
      <c r="D66" s="115"/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6">
        <f>SUM(R52:R65)*$A$66</f>
        <v>14994.627</v>
      </c>
      <c r="S66" s="156">
        <f t="shared" ref="S66:AC66" si="45">SUM(S52:S65)*$A$66</f>
        <v>18743.2845</v>
      </c>
      <c r="T66" s="156">
        <f t="shared" si="45"/>
        <v>82045.60084</v>
      </c>
      <c r="U66" s="156">
        <f t="shared" si="45"/>
        <v>79074.8467103704</v>
      </c>
      <c r="V66" s="156">
        <f t="shared" si="45"/>
        <v>79074.8467103704</v>
      </c>
      <c r="W66" s="156">
        <f t="shared" si="45"/>
        <v>79074.8467103704</v>
      </c>
      <c r="X66" s="156">
        <f t="shared" si="45"/>
        <v>82823.5033770371</v>
      </c>
      <c r="Y66" s="156">
        <f t="shared" si="45"/>
        <v>59336.936177037</v>
      </c>
      <c r="Z66" s="156">
        <f t="shared" si="45"/>
        <v>59336.936177037</v>
      </c>
      <c r="AA66" s="156">
        <f t="shared" si="45"/>
        <v>64225.8250659259</v>
      </c>
      <c r="AB66" s="156">
        <f t="shared" si="45"/>
        <v>64225.8250659259</v>
      </c>
      <c r="AC66" s="156">
        <f t="shared" si="45"/>
        <v>64225.8250659259</v>
      </c>
      <c r="AD66" s="156">
        <f t="shared" ref="AD66:BC66" si="46">SUM(AD52:AD65)*0.05</f>
        <v>0</v>
      </c>
      <c r="AE66" s="156">
        <f t="shared" si="46"/>
        <v>0</v>
      </c>
      <c r="AF66" s="156">
        <f t="shared" si="46"/>
        <v>0</v>
      </c>
      <c r="AG66" s="156">
        <f t="shared" si="46"/>
        <v>0</v>
      </c>
      <c r="AH66" s="156">
        <f t="shared" si="46"/>
        <v>0</v>
      </c>
      <c r="AI66" s="156">
        <f t="shared" si="46"/>
        <v>0</v>
      </c>
      <c r="AJ66" s="156">
        <f t="shared" si="46"/>
        <v>0</v>
      </c>
      <c r="AK66" s="156">
        <f t="shared" si="46"/>
        <v>0</v>
      </c>
      <c r="AL66" s="156">
        <f t="shared" si="46"/>
        <v>0</v>
      </c>
      <c r="AM66" s="156">
        <f t="shared" si="46"/>
        <v>0</v>
      </c>
      <c r="AN66" s="156">
        <f t="shared" si="46"/>
        <v>0</v>
      </c>
      <c r="AO66" s="156">
        <f t="shared" si="46"/>
        <v>0</v>
      </c>
      <c r="AP66" s="156">
        <f t="shared" si="46"/>
        <v>0</v>
      </c>
      <c r="AQ66" s="156">
        <f t="shared" si="46"/>
        <v>0</v>
      </c>
      <c r="AR66" s="156">
        <f t="shared" si="46"/>
        <v>0</v>
      </c>
      <c r="AS66" s="156">
        <f t="shared" si="46"/>
        <v>0</v>
      </c>
      <c r="AT66" s="156">
        <f t="shared" si="46"/>
        <v>0</v>
      </c>
      <c r="AU66" s="156">
        <f t="shared" si="46"/>
        <v>0</v>
      </c>
      <c r="AV66" s="156">
        <f t="shared" si="46"/>
        <v>0</v>
      </c>
      <c r="AW66" s="156">
        <f t="shared" si="46"/>
        <v>0</v>
      </c>
      <c r="AX66" s="156">
        <f t="shared" si="46"/>
        <v>0</v>
      </c>
      <c r="AY66" s="156">
        <f t="shared" ref="AY66:BA66" si="47">SUM(AY52:AY65)*0.05</f>
        <v>0</v>
      </c>
      <c r="AZ66" s="156">
        <f t="shared" si="47"/>
        <v>0</v>
      </c>
      <c r="BA66" s="156">
        <f t="shared" si="47"/>
        <v>0</v>
      </c>
      <c r="BB66" s="156">
        <f t="shared" si="46"/>
        <v>0</v>
      </c>
      <c r="BC66" s="156">
        <f t="shared" si="46"/>
        <v>0</v>
      </c>
      <c r="BD66" s="157">
        <f t="shared" si="34"/>
        <v>747182.9034</v>
      </c>
      <c r="BE66" s="115"/>
      <c r="BF66" s="115"/>
      <c r="BG66" s="64">
        <f t="shared" si="35"/>
        <v>0</v>
      </c>
      <c r="BH66" s="64">
        <f t="shared" si="36"/>
        <v>0</v>
      </c>
      <c r="BI66" s="64">
        <f t="shared" si="37"/>
        <v>747182.9034</v>
      </c>
      <c r="BJ66" s="64">
        <f t="shared" si="38"/>
        <v>0</v>
      </c>
      <c r="BK66" s="64">
        <f t="shared" si="29"/>
        <v>0</v>
      </c>
      <c r="BL66" s="64">
        <f t="shared" si="39"/>
        <v>0</v>
      </c>
      <c r="BM66" s="64">
        <f t="shared" si="40"/>
        <v>747182.9034</v>
      </c>
    </row>
    <row r="67" spans="1:65">
      <c r="A67" s="1" t="s">
        <v>108</v>
      </c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7"/>
      <c r="BG67" s="64"/>
      <c r="BH67" s="64"/>
      <c r="BI67" s="64"/>
      <c r="BJ67" s="64"/>
      <c r="BK67" s="64"/>
      <c r="BL67" s="64"/>
      <c r="BM67" s="64"/>
    </row>
    <row r="68" spans="1:65">
      <c r="A68" s="100" t="s">
        <v>109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v>0</v>
      </c>
      <c r="Q68" s="64">
        <v>0</v>
      </c>
      <c r="R68" s="64">
        <f>(100000-E49-E41-E34)/12</f>
        <v>8333.33333333333</v>
      </c>
      <c r="S68" s="64">
        <f t="shared" ref="S68:AC68" si="48">R68</f>
        <v>8333.33333333333</v>
      </c>
      <c r="T68" s="64">
        <f t="shared" si="48"/>
        <v>8333.33333333333</v>
      </c>
      <c r="U68" s="64">
        <f t="shared" si="48"/>
        <v>8333.33333333333</v>
      </c>
      <c r="V68" s="64">
        <f t="shared" si="48"/>
        <v>8333.33333333333</v>
      </c>
      <c r="W68" s="64">
        <f t="shared" si="48"/>
        <v>8333.33333333333</v>
      </c>
      <c r="X68" s="64">
        <f t="shared" si="48"/>
        <v>8333.33333333333</v>
      </c>
      <c r="Y68" s="64">
        <f t="shared" si="48"/>
        <v>8333.33333333333</v>
      </c>
      <c r="Z68" s="64">
        <f t="shared" si="48"/>
        <v>8333.33333333333</v>
      </c>
      <c r="AA68" s="64">
        <f t="shared" si="48"/>
        <v>8333.33333333333</v>
      </c>
      <c r="AB68" s="64">
        <f t="shared" si="48"/>
        <v>8333.33333333333</v>
      </c>
      <c r="AC68" s="64">
        <f t="shared" si="48"/>
        <v>8333.33333333333</v>
      </c>
      <c r="AD68" s="64">
        <v>0</v>
      </c>
      <c r="AE68" s="64">
        <v>0</v>
      </c>
      <c r="AF68" s="64">
        <v>0</v>
      </c>
      <c r="AG68" s="64">
        <v>0</v>
      </c>
      <c r="AH68" s="64">
        <v>0</v>
      </c>
      <c r="AI68" s="64">
        <v>0</v>
      </c>
      <c r="AJ68" s="64">
        <v>0</v>
      </c>
      <c r="AK68" s="64">
        <v>0</v>
      </c>
      <c r="AL68" s="64">
        <v>0</v>
      </c>
      <c r="AM68" s="64">
        <v>0</v>
      </c>
      <c r="AN68" s="64">
        <v>0</v>
      </c>
      <c r="AO68" s="64">
        <v>0</v>
      </c>
      <c r="AP68" s="64">
        <v>0</v>
      </c>
      <c r="AQ68" s="64">
        <v>0</v>
      </c>
      <c r="AR68" s="64">
        <v>0</v>
      </c>
      <c r="AS68" s="64">
        <v>0</v>
      </c>
      <c r="AT68" s="64">
        <v>0</v>
      </c>
      <c r="AU68" s="64">
        <v>0</v>
      </c>
      <c r="AV68" s="64">
        <v>0</v>
      </c>
      <c r="AW68" s="64">
        <v>0</v>
      </c>
      <c r="AX68" s="64">
        <v>0</v>
      </c>
      <c r="AY68" s="64">
        <v>0</v>
      </c>
      <c r="AZ68" s="64">
        <v>0</v>
      </c>
      <c r="BA68" s="64">
        <v>0</v>
      </c>
      <c r="BB68" s="64">
        <v>0</v>
      </c>
      <c r="BC68" s="64">
        <v>0</v>
      </c>
      <c r="BD68" s="67">
        <f t="shared" ref="BD68:BD79" si="49">SUM(E68:BC68)</f>
        <v>100000</v>
      </c>
      <c r="BG68" s="64">
        <f t="shared" ref="BG68:BG80" si="50">E68</f>
        <v>0</v>
      </c>
      <c r="BH68" s="64">
        <f t="shared" ref="BH68:BH80" si="51">SUM(F68:Q68)</f>
        <v>0</v>
      </c>
      <c r="BI68" s="64">
        <f t="shared" ref="BI68:BI80" si="52">SUM(R68:AC68)</f>
        <v>100000</v>
      </c>
      <c r="BJ68" s="64">
        <f t="shared" ref="BJ68:BJ80" si="53">SUM(AD68:AO68)</f>
        <v>0</v>
      </c>
      <c r="BK68" s="64">
        <f t="shared" si="29"/>
        <v>0</v>
      </c>
      <c r="BL68" s="64">
        <f t="shared" si="39"/>
        <v>0</v>
      </c>
      <c r="BM68" s="64">
        <f t="shared" ref="BM68:BM79" si="54">SUM(BG68:BL68)</f>
        <v>100000</v>
      </c>
    </row>
    <row r="69" spans="1:65">
      <c r="A69" s="100" t="s">
        <v>110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v>0</v>
      </c>
      <c r="Q69" s="64">
        <v>0</v>
      </c>
      <c r="R69" s="64">
        <f>75000/12</f>
        <v>6250</v>
      </c>
      <c r="S69" s="64">
        <f t="shared" ref="S69:AC69" si="55">R69</f>
        <v>6250</v>
      </c>
      <c r="T69" s="64">
        <f t="shared" si="55"/>
        <v>6250</v>
      </c>
      <c r="U69" s="64">
        <f t="shared" si="55"/>
        <v>6250</v>
      </c>
      <c r="V69" s="64">
        <f t="shared" si="55"/>
        <v>6250</v>
      </c>
      <c r="W69" s="64">
        <f t="shared" si="55"/>
        <v>6250</v>
      </c>
      <c r="X69" s="64">
        <f t="shared" si="55"/>
        <v>6250</v>
      </c>
      <c r="Y69" s="64">
        <f t="shared" si="55"/>
        <v>6250</v>
      </c>
      <c r="Z69" s="64">
        <f t="shared" si="55"/>
        <v>6250</v>
      </c>
      <c r="AA69" s="64">
        <f t="shared" si="55"/>
        <v>6250</v>
      </c>
      <c r="AB69" s="64">
        <f t="shared" si="55"/>
        <v>6250</v>
      </c>
      <c r="AC69" s="64">
        <f t="shared" si="55"/>
        <v>6250</v>
      </c>
      <c r="AD69" s="64">
        <v>0</v>
      </c>
      <c r="AE69" s="64">
        <v>0</v>
      </c>
      <c r="AF69" s="64">
        <v>0</v>
      </c>
      <c r="AG69" s="64">
        <v>0</v>
      </c>
      <c r="AH69" s="64">
        <v>0</v>
      </c>
      <c r="AI69" s="64">
        <v>0</v>
      </c>
      <c r="AJ69" s="64">
        <v>0</v>
      </c>
      <c r="AK69" s="64">
        <v>0</v>
      </c>
      <c r="AL69" s="64">
        <v>0</v>
      </c>
      <c r="AM69" s="64">
        <v>0</v>
      </c>
      <c r="AN69" s="64">
        <v>0</v>
      </c>
      <c r="AO69" s="64">
        <v>0</v>
      </c>
      <c r="AP69" s="64">
        <v>0</v>
      </c>
      <c r="AQ69" s="64">
        <v>0</v>
      </c>
      <c r="AR69" s="64">
        <v>0</v>
      </c>
      <c r="AS69" s="64">
        <v>0</v>
      </c>
      <c r="AT69" s="64">
        <v>0</v>
      </c>
      <c r="AU69" s="64">
        <v>0</v>
      </c>
      <c r="AV69" s="64">
        <v>0</v>
      </c>
      <c r="AW69" s="64">
        <v>0</v>
      </c>
      <c r="AX69" s="64">
        <v>0</v>
      </c>
      <c r="AY69" s="64">
        <v>0</v>
      </c>
      <c r="AZ69" s="64">
        <v>0</v>
      </c>
      <c r="BA69" s="64">
        <v>0</v>
      </c>
      <c r="BB69" s="64">
        <v>0</v>
      </c>
      <c r="BC69" s="64">
        <v>0</v>
      </c>
      <c r="BD69" s="67">
        <f t="shared" si="49"/>
        <v>75000</v>
      </c>
      <c r="BG69" s="64">
        <f t="shared" si="50"/>
        <v>0</v>
      </c>
      <c r="BH69" s="64">
        <f t="shared" si="51"/>
        <v>0</v>
      </c>
      <c r="BI69" s="64">
        <f t="shared" si="52"/>
        <v>75000</v>
      </c>
      <c r="BJ69" s="64">
        <f t="shared" si="53"/>
        <v>0</v>
      </c>
      <c r="BK69" s="64">
        <f t="shared" si="29"/>
        <v>0</v>
      </c>
      <c r="BL69" s="64">
        <f t="shared" si="39"/>
        <v>0</v>
      </c>
      <c r="BM69" s="64">
        <f t="shared" si="54"/>
        <v>75000</v>
      </c>
    </row>
    <row r="70" spans="1:65">
      <c r="A70" s="100" t="s">
        <v>111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v>0</v>
      </c>
      <c r="Q70" s="64">
        <v>0</v>
      </c>
      <c r="R70" s="64">
        <f t="shared" ref="R70:AC70" si="56">0.015*SUM(R52:R66)</f>
        <v>2474.113455</v>
      </c>
      <c r="S70" s="64">
        <f t="shared" si="56"/>
        <v>3092.6419425</v>
      </c>
      <c r="T70" s="64">
        <f t="shared" si="56"/>
        <v>13537.5241386</v>
      </c>
      <c r="U70" s="64">
        <f t="shared" si="56"/>
        <v>13047.3497072111</v>
      </c>
      <c r="V70" s="64">
        <f t="shared" si="56"/>
        <v>13047.3497072111</v>
      </c>
      <c r="W70" s="64">
        <f t="shared" si="56"/>
        <v>13047.3497072111</v>
      </c>
      <c r="X70" s="64">
        <f t="shared" si="56"/>
        <v>13665.8780572111</v>
      </c>
      <c r="Y70" s="64">
        <f t="shared" si="56"/>
        <v>9790.59446921111</v>
      </c>
      <c r="Z70" s="64">
        <f t="shared" si="56"/>
        <v>9790.59446921111</v>
      </c>
      <c r="AA70" s="64">
        <f t="shared" si="56"/>
        <v>10597.2611358778</v>
      </c>
      <c r="AB70" s="64">
        <f t="shared" si="56"/>
        <v>10597.2611358778</v>
      </c>
      <c r="AC70" s="64">
        <f t="shared" si="56"/>
        <v>10597.2611358778</v>
      </c>
      <c r="AD70" s="64">
        <v>0</v>
      </c>
      <c r="AE70" s="64">
        <v>0</v>
      </c>
      <c r="AF70" s="64">
        <v>0</v>
      </c>
      <c r="AG70" s="64">
        <v>0</v>
      </c>
      <c r="AH70" s="64">
        <v>0</v>
      </c>
      <c r="AI70" s="64">
        <v>0</v>
      </c>
      <c r="AJ70" s="64">
        <v>0</v>
      </c>
      <c r="AK70" s="64">
        <v>0</v>
      </c>
      <c r="AL70" s="64">
        <v>0</v>
      </c>
      <c r="AM70" s="64">
        <v>0</v>
      </c>
      <c r="AN70" s="64">
        <v>0</v>
      </c>
      <c r="AO70" s="64">
        <v>0</v>
      </c>
      <c r="AP70" s="64">
        <v>0</v>
      </c>
      <c r="AQ70" s="64">
        <v>0</v>
      </c>
      <c r="AR70" s="64">
        <v>0</v>
      </c>
      <c r="AS70" s="64">
        <v>0</v>
      </c>
      <c r="AT70" s="64">
        <v>0</v>
      </c>
      <c r="AU70" s="64">
        <v>0</v>
      </c>
      <c r="AV70" s="64">
        <v>0</v>
      </c>
      <c r="AW70" s="64">
        <v>0</v>
      </c>
      <c r="AX70" s="64">
        <v>0</v>
      </c>
      <c r="AY70" s="64">
        <v>0</v>
      </c>
      <c r="AZ70" s="64">
        <v>0</v>
      </c>
      <c r="BA70" s="64">
        <v>0</v>
      </c>
      <c r="BB70" s="64">
        <v>0</v>
      </c>
      <c r="BC70" s="64">
        <v>0</v>
      </c>
      <c r="BD70" s="67">
        <f t="shared" si="49"/>
        <v>123285.179061</v>
      </c>
      <c r="BG70" s="64">
        <f t="shared" si="50"/>
        <v>0</v>
      </c>
      <c r="BH70" s="64">
        <f t="shared" si="51"/>
        <v>0</v>
      </c>
      <c r="BI70" s="64">
        <f t="shared" si="52"/>
        <v>123285.179061</v>
      </c>
      <c r="BJ70" s="64">
        <f t="shared" si="53"/>
        <v>0</v>
      </c>
      <c r="BK70" s="64">
        <f t="shared" si="29"/>
        <v>0</v>
      </c>
      <c r="BL70" s="64">
        <f t="shared" si="39"/>
        <v>0</v>
      </c>
      <c r="BM70" s="64">
        <f t="shared" si="54"/>
        <v>123285.179061</v>
      </c>
    </row>
    <row r="71" spans="1:65">
      <c r="A71" s="100" t="s">
        <v>112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v>0</v>
      </c>
      <c r="Q71" s="64">
        <v>0</v>
      </c>
      <c r="R71" s="64">
        <f>75000/12</f>
        <v>6250</v>
      </c>
      <c r="S71" s="64">
        <f t="shared" ref="S71:AC71" si="57">75000/12</f>
        <v>6250</v>
      </c>
      <c r="T71" s="64">
        <f t="shared" si="57"/>
        <v>6250</v>
      </c>
      <c r="U71" s="64">
        <f t="shared" si="57"/>
        <v>6250</v>
      </c>
      <c r="V71" s="64">
        <f t="shared" si="57"/>
        <v>6250</v>
      </c>
      <c r="W71" s="64">
        <f t="shared" si="57"/>
        <v>6250</v>
      </c>
      <c r="X71" s="64">
        <f t="shared" si="57"/>
        <v>6250</v>
      </c>
      <c r="Y71" s="64">
        <f t="shared" si="57"/>
        <v>6250</v>
      </c>
      <c r="Z71" s="64">
        <f t="shared" si="57"/>
        <v>6250</v>
      </c>
      <c r="AA71" s="64">
        <f t="shared" si="57"/>
        <v>6250</v>
      </c>
      <c r="AB71" s="64">
        <f t="shared" si="57"/>
        <v>6250</v>
      </c>
      <c r="AC71" s="64">
        <f t="shared" si="57"/>
        <v>6250</v>
      </c>
      <c r="AD71" s="64">
        <v>0</v>
      </c>
      <c r="AE71" s="64">
        <v>0</v>
      </c>
      <c r="AF71" s="64">
        <v>0</v>
      </c>
      <c r="AG71" s="64">
        <v>0</v>
      </c>
      <c r="AH71" s="64">
        <v>0</v>
      </c>
      <c r="AI71" s="64">
        <v>0</v>
      </c>
      <c r="AJ71" s="64">
        <v>0</v>
      </c>
      <c r="AK71" s="64">
        <v>0</v>
      </c>
      <c r="AL71" s="64">
        <v>0</v>
      </c>
      <c r="AM71" s="64">
        <v>0</v>
      </c>
      <c r="AN71" s="64">
        <v>0</v>
      </c>
      <c r="AO71" s="64">
        <v>0</v>
      </c>
      <c r="AP71" s="64">
        <v>0</v>
      </c>
      <c r="AQ71" s="64">
        <v>0</v>
      </c>
      <c r="AR71" s="64">
        <v>0</v>
      </c>
      <c r="AS71" s="64">
        <v>0</v>
      </c>
      <c r="AT71" s="64">
        <v>0</v>
      </c>
      <c r="AU71" s="64">
        <v>0</v>
      </c>
      <c r="AV71" s="64">
        <v>0</v>
      </c>
      <c r="AW71" s="64">
        <v>0</v>
      </c>
      <c r="AX71" s="64">
        <v>0</v>
      </c>
      <c r="AY71" s="64">
        <v>0</v>
      </c>
      <c r="AZ71" s="64">
        <v>0</v>
      </c>
      <c r="BA71" s="64">
        <v>0</v>
      </c>
      <c r="BB71" s="64">
        <v>0</v>
      </c>
      <c r="BC71" s="64">
        <v>0</v>
      </c>
      <c r="BD71" s="67">
        <f t="shared" si="49"/>
        <v>75000</v>
      </c>
      <c r="BG71" s="64">
        <f t="shared" si="50"/>
        <v>0</v>
      </c>
      <c r="BH71" s="64">
        <f t="shared" si="51"/>
        <v>0</v>
      </c>
      <c r="BI71" s="64">
        <f t="shared" si="52"/>
        <v>75000</v>
      </c>
      <c r="BJ71" s="64">
        <f t="shared" si="53"/>
        <v>0</v>
      </c>
      <c r="BK71" s="64">
        <f t="shared" si="29"/>
        <v>0</v>
      </c>
      <c r="BL71" s="64">
        <f t="shared" si="39"/>
        <v>0</v>
      </c>
      <c r="BM71" s="64">
        <f t="shared" si="54"/>
        <v>75000</v>
      </c>
    </row>
    <row r="72" spans="1:65">
      <c r="A72" s="134" t="s">
        <v>113</v>
      </c>
      <c r="B72" s="115"/>
      <c r="E72" s="64">
        <v>0</v>
      </c>
      <c r="F72" s="64">
        <f>75000/4/12</f>
        <v>1562.5</v>
      </c>
      <c r="G72" s="64">
        <f t="shared" ref="G72:Q72" si="58">75000/4/12</f>
        <v>1562.5</v>
      </c>
      <c r="H72" s="64">
        <f t="shared" si="58"/>
        <v>1562.5</v>
      </c>
      <c r="I72" s="64">
        <f t="shared" si="58"/>
        <v>1562.5</v>
      </c>
      <c r="J72" s="64">
        <f t="shared" si="58"/>
        <v>1562.5</v>
      </c>
      <c r="K72" s="64">
        <f t="shared" si="58"/>
        <v>1562.5</v>
      </c>
      <c r="L72" s="64">
        <f t="shared" si="58"/>
        <v>1562.5</v>
      </c>
      <c r="M72" s="64">
        <f t="shared" si="58"/>
        <v>1562.5</v>
      </c>
      <c r="N72" s="64">
        <f t="shared" si="58"/>
        <v>1562.5</v>
      </c>
      <c r="O72" s="64">
        <f t="shared" si="58"/>
        <v>1562.5</v>
      </c>
      <c r="P72" s="64">
        <f t="shared" si="58"/>
        <v>1562.5</v>
      </c>
      <c r="Q72" s="64">
        <f t="shared" si="58"/>
        <v>1562.5</v>
      </c>
      <c r="R72" s="64">
        <f>75000/12</f>
        <v>6250</v>
      </c>
      <c r="S72" s="64">
        <f t="shared" ref="S72:AC72" si="59">75000/12</f>
        <v>6250</v>
      </c>
      <c r="T72" s="64">
        <f t="shared" si="59"/>
        <v>6250</v>
      </c>
      <c r="U72" s="64">
        <f t="shared" si="59"/>
        <v>6250</v>
      </c>
      <c r="V72" s="64">
        <f t="shared" si="59"/>
        <v>6250</v>
      </c>
      <c r="W72" s="64">
        <f t="shared" si="59"/>
        <v>6250</v>
      </c>
      <c r="X72" s="64">
        <f t="shared" si="59"/>
        <v>6250</v>
      </c>
      <c r="Y72" s="64">
        <f t="shared" si="59"/>
        <v>6250</v>
      </c>
      <c r="Z72" s="64">
        <f t="shared" si="59"/>
        <v>6250</v>
      </c>
      <c r="AA72" s="64">
        <f t="shared" si="59"/>
        <v>6250</v>
      </c>
      <c r="AB72" s="64">
        <f t="shared" si="59"/>
        <v>6250</v>
      </c>
      <c r="AC72" s="64">
        <f t="shared" si="59"/>
        <v>6250</v>
      </c>
      <c r="AD72" s="64">
        <v>0</v>
      </c>
      <c r="AE72" s="64">
        <v>0</v>
      </c>
      <c r="AF72" s="64">
        <v>0</v>
      </c>
      <c r="AG72" s="64">
        <v>0</v>
      </c>
      <c r="AH72" s="64">
        <v>0</v>
      </c>
      <c r="AI72" s="64">
        <v>0</v>
      </c>
      <c r="AJ72" s="64">
        <v>0</v>
      </c>
      <c r="AK72" s="64">
        <v>0</v>
      </c>
      <c r="AL72" s="64">
        <v>0</v>
      </c>
      <c r="AM72" s="64">
        <v>0</v>
      </c>
      <c r="AN72" s="64">
        <v>0</v>
      </c>
      <c r="AO72" s="64">
        <v>0</v>
      </c>
      <c r="AP72" s="64">
        <v>0</v>
      </c>
      <c r="AQ72" s="64">
        <v>0</v>
      </c>
      <c r="AR72" s="64">
        <v>0</v>
      </c>
      <c r="AS72" s="64">
        <v>0</v>
      </c>
      <c r="AT72" s="64">
        <v>0</v>
      </c>
      <c r="AU72" s="64">
        <v>0</v>
      </c>
      <c r="AV72" s="64">
        <v>0</v>
      </c>
      <c r="AW72" s="64">
        <v>0</v>
      </c>
      <c r="AX72" s="64">
        <v>0</v>
      </c>
      <c r="AY72" s="64">
        <v>0</v>
      </c>
      <c r="AZ72" s="64">
        <v>0</v>
      </c>
      <c r="BA72" s="64">
        <v>0</v>
      </c>
      <c r="BB72" s="64">
        <v>0</v>
      </c>
      <c r="BC72" s="64">
        <v>0</v>
      </c>
      <c r="BD72" s="67">
        <f t="shared" si="49"/>
        <v>93750</v>
      </c>
      <c r="BG72" s="64">
        <f t="shared" si="50"/>
        <v>0</v>
      </c>
      <c r="BH72" s="64">
        <f t="shared" si="51"/>
        <v>18750</v>
      </c>
      <c r="BI72" s="64">
        <f t="shared" si="52"/>
        <v>75000</v>
      </c>
      <c r="BJ72" s="64">
        <f t="shared" si="53"/>
        <v>0</v>
      </c>
      <c r="BK72" s="64">
        <f t="shared" si="29"/>
        <v>0</v>
      </c>
      <c r="BL72" s="64">
        <f t="shared" si="39"/>
        <v>0</v>
      </c>
      <c r="BM72" s="64">
        <f t="shared" si="54"/>
        <v>93750</v>
      </c>
    </row>
    <row r="73" spans="1:65">
      <c r="A73" s="134" t="s">
        <v>114</v>
      </c>
      <c r="B73" s="115"/>
      <c r="E73" s="64">
        <v>0</v>
      </c>
      <c r="F73" s="64">
        <f t="shared" ref="F73:AC73" si="60">125000/12</f>
        <v>10416.6666666667</v>
      </c>
      <c r="G73" s="64">
        <f t="shared" si="60"/>
        <v>10416.6666666667</v>
      </c>
      <c r="H73" s="64">
        <f t="shared" si="60"/>
        <v>10416.6666666667</v>
      </c>
      <c r="I73" s="64">
        <f t="shared" si="60"/>
        <v>10416.6666666667</v>
      </c>
      <c r="J73" s="64">
        <f t="shared" si="60"/>
        <v>10416.6666666667</v>
      </c>
      <c r="K73" s="64">
        <f t="shared" si="60"/>
        <v>10416.6666666667</v>
      </c>
      <c r="L73" s="64">
        <f t="shared" si="60"/>
        <v>10416.6666666667</v>
      </c>
      <c r="M73" s="64">
        <f t="shared" si="60"/>
        <v>10416.6666666667</v>
      </c>
      <c r="N73" s="64">
        <f t="shared" si="60"/>
        <v>10416.6666666667</v>
      </c>
      <c r="O73" s="64">
        <f t="shared" si="60"/>
        <v>10416.6666666667</v>
      </c>
      <c r="P73" s="64">
        <f t="shared" si="60"/>
        <v>10416.6666666667</v>
      </c>
      <c r="Q73" s="64">
        <f t="shared" si="60"/>
        <v>10416.6666666667</v>
      </c>
      <c r="R73" s="64">
        <f t="shared" si="60"/>
        <v>10416.6666666667</v>
      </c>
      <c r="S73" s="64">
        <f t="shared" si="60"/>
        <v>10416.6666666667</v>
      </c>
      <c r="T73" s="64">
        <f t="shared" si="60"/>
        <v>10416.6666666667</v>
      </c>
      <c r="U73" s="64">
        <f t="shared" si="60"/>
        <v>10416.6666666667</v>
      </c>
      <c r="V73" s="64">
        <f t="shared" si="60"/>
        <v>10416.6666666667</v>
      </c>
      <c r="W73" s="64">
        <f t="shared" si="60"/>
        <v>10416.6666666667</v>
      </c>
      <c r="X73" s="64">
        <f t="shared" si="60"/>
        <v>10416.6666666667</v>
      </c>
      <c r="Y73" s="64">
        <f t="shared" si="60"/>
        <v>10416.6666666667</v>
      </c>
      <c r="Z73" s="64">
        <f t="shared" si="60"/>
        <v>10416.6666666667</v>
      </c>
      <c r="AA73" s="64">
        <f t="shared" si="60"/>
        <v>10416.6666666667</v>
      </c>
      <c r="AB73" s="64">
        <f t="shared" si="60"/>
        <v>10416.6666666667</v>
      </c>
      <c r="AC73" s="64">
        <f t="shared" si="60"/>
        <v>10416.6666666667</v>
      </c>
      <c r="AD73" s="64">
        <f>125000/12/SUMMARY!$G$9*(SUMMARY!$G$9-AD10)</f>
        <v>5918.56060606061</v>
      </c>
      <c r="AE73" s="64">
        <f>125000/12/SUMMARY!$G$9*(SUMMARY!$G$9-AE10)</f>
        <v>5681.81818181818</v>
      </c>
      <c r="AF73" s="64">
        <f>125000/12/SUMMARY!$G$9*(SUMMARY!$G$9-AF10)</f>
        <v>5445.07575757576</v>
      </c>
      <c r="AG73" s="64">
        <f>125000/12/SUMMARY!$G$9*(SUMMARY!$G$9-AG10)</f>
        <v>5208.33333333333</v>
      </c>
      <c r="AH73" s="64">
        <f>125000/12/SUMMARY!$G$9*(SUMMARY!$G$9-AH10)</f>
        <v>4971.59090909091</v>
      </c>
      <c r="AI73" s="64">
        <f>125000/12/SUMMARY!$G$9*(SUMMARY!$G$9-AI10)</f>
        <v>4734.84848484848</v>
      </c>
      <c r="AJ73" s="64">
        <f>125000/12/SUMMARY!$G$9*(SUMMARY!$G$9-AJ10)</f>
        <v>4498.10606060606</v>
      </c>
      <c r="AK73" s="64">
        <f>125000/12/SUMMARY!$G$9*(SUMMARY!$G$9-AK10)</f>
        <v>4261.36363636364</v>
      </c>
      <c r="AL73" s="64">
        <f>125000/12/SUMMARY!$G$9*(SUMMARY!$G$9-AL10)</f>
        <v>4024.62121212121</v>
      </c>
      <c r="AM73" s="64">
        <f>125000/12/SUMMARY!$G$9*(SUMMARY!$G$9-AM10)</f>
        <v>3787.87878787879</v>
      </c>
      <c r="AN73" s="64">
        <f>125000/12/SUMMARY!$G$9*(SUMMARY!$G$9-AN10)</f>
        <v>3551.13636363636</v>
      </c>
      <c r="AO73" s="64">
        <f>125000/12/SUMMARY!$G$9*(SUMMARY!$G$9-AO10)</f>
        <v>3314.39393939394</v>
      </c>
      <c r="AP73" s="64">
        <f>125000/12/SUMMARY!$G$9*(SUMMARY!$G$9-AP10)</f>
        <v>3077.65151515152</v>
      </c>
      <c r="AQ73" s="64">
        <f>125000/12/SUMMARY!$G$9*(SUMMARY!$G$9-AQ10)</f>
        <v>2840.90909090909</v>
      </c>
      <c r="AR73" s="64">
        <f>125000/12/SUMMARY!$G$9*(SUMMARY!$G$9-AR10)</f>
        <v>2604.16666666667</v>
      </c>
      <c r="AS73" s="64">
        <f>125000/12/SUMMARY!$G$9*(SUMMARY!$G$9-AS10)</f>
        <v>2367.42424242424</v>
      </c>
      <c r="AT73" s="64">
        <f>125000/12/SUMMARY!$G$9*(SUMMARY!$G$9-AT10)</f>
        <v>2130.68181818182</v>
      </c>
      <c r="AU73" s="64">
        <f>125000/12/SUMMARY!$G$9*(SUMMARY!$G$9-AU10)</f>
        <v>1893.93939393939</v>
      </c>
      <c r="AV73" s="64">
        <f>125000/12/SUMMARY!$G$9*(SUMMARY!$G$9-AV10)</f>
        <v>1657.19696969697</v>
      </c>
      <c r="AW73" s="64">
        <f>125000/12/SUMMARY!$G$9*(SUMMARY!$G$9-AW10)</f>
        <v>1420.45454545455</v>
      </c>
      <c r="AX73" s="64">
        <f>125000/12/SUMMARY!$G$9*(SUMMARY!$G$9-AX10)</f>
        <v>1183.71212121212</v>
      </c>
      <c r="AY73" s="64">
        <f>125000/12/SUMMARY!$G$9*(SUMMARY!$G$9-AY10)</f>
        <v>946.969696969697</v>
      </c>
      <c r="AZ73" s="64">
        <f>125000/12/SUMMARY!$G$9*(SUMMARY!$G$9-AZ10)</f>
        <v>710.227272727273</v>
      </c>
      <c r="BA73" s="64">
        <f>125000/12/SUMMARY!$G$9*(SUMMARY!$G$9-BA10)</f>
        <v>473.484848484848</v>
      </c>
      <c r="BB73" s="64">
        <f>125000/12/SUMMARY!$G$9*(SUMMARY!$G$9-BB10)</f>
        <v>236.742424242424</v>
      </c>
      <c r="BC73" s="64">
        <f>125000/12/SUMMARY!$G$9*(SUMMARY!$G$9-BC10)</f>
        <v>0</v>
      </c>
      <c r="BD73" s="67">
        <f t="shared" si="49"/>
        <v>326941.287878788</v>
      </c>
      <c r="BG73" s="64">
        <f t="shared" si="50"/>
        <v>0</v>
      </c>
      <c r="BH73" s="64">
        <f t="shared" si="51"/>
        <v>125000</v>
      </c>
      <c r="BI73" s="64">
        <f t="shared" si="52"/>
        <v>125000</v>
      </c>
      <c r="BJ73" s="64">
        <f t="shared" si="53"/>
        <v>55397.7272727273</v>
      </c>
      <c r="BK73" s="64">
        <f t="shared" si="29"/>
        <v>21306.8181818182</v>
      </c>
      <c r="BL73" s="64">
        <f t="shared" si="39"/>
        <v>236.742424242424</v>
      </c>
      <c r="BM73" s="64">
        <f t="shared" si="54"/>
        <v>326941.287878788</v>
      </c>
    </row>
    <row r="74" spans="1:65">
      <c r="A74" s="134" t="s">
        <v>1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4">
        <f>IF(J7&gt;0,5000,0)</f>
        <v>5000</v>
      </c>
      <c r="K74" s="64">
        <f t="shared" ref="K74:BC74" si="61">IF(K7&gt;0,5000,0)</f>
        <v>5000</v>
      </c>
      <c r="L74" s="64">
        <f t="shared" si="61"/>
        <v>5000</v>
      </c>
      <c r="M74" s="64">
        <f t="shared" si="61"/>
        <v>5000</v>
      </c>
      <c r="N74" s="64">
        <f t="shared" si="61"/>
        <v>5000</v>
      </c>
      <c r="O74" s="64">
        <f t="shared" si="61"/>
        <v>5000</v>
      </c>
      <c r="P74" s="64">
        <f t="shared" si="61"/>
        <v>5000</v>
      </c>
      <c r="Q74" s="64">
        <f t="shared" si="61"/>
        <v>5000</v>
      </c>
      <c r="R74" s="64">
        <f t="shared" si="61"/>
        <v>5000</v>
      </c>
      <c r="S74" s="64">
        <f t="shared" si="61"/>
        <v>5000</v>
      </c>
      <c r="T74" s="64">
        <f t="shared" si="61"/>
        <v>5000</v>
      </c>
      <c r="U74" s="64">
        <f t="shared" si="61"/>
        <v>5000</v>
      </c>
      <c r="V74" s="64">
        <f t="shared" si="61"/>
        <v>5000</v>
      </c>
      <c r="W74" s="64">
        <f t="shared" si="61"/>
        <v>5000</v>
      </c>
      <c r="X74" s="64">
        <f t="shared" si="61"/>
        <v>5000</v>
      </c>
      <c r="Y74" s="64">
        <f t="shared" si="61"/>
        <v>5000</v>
      </c>
      <c r="Z74" s="64">
        <f t="shared" si="61"/>
        <v>5000</v>
      </c>
      <c r="AA74" s="64">
        <f t="shared" si="61"/>
        <v>5000</v>
      </c>
      <c r="AB74" s="64">
        <f t="shared" si="61"/>
        <v>5000</v>
      </c>
      <c r="AC74" s="64">
        <f t="shared" si="61"/>
        <v>5000</v>
      </c>
      <c r="AD74" s="64">
        <f t="shared" si="61"/>
        <v>5000</v>
      </c>
      <c r="AE74" s="64">
        <f t="shared" si="61"/>
        <v>5000</v>
      </c>
      <c r="AF74" s="64">
        <f t="shared" si="61"/>
        <v>5000</v>
      </c>
      <c r="AG74" s="64">
        <f t="shared" si="61"/>
        <v>5000</v>
      </c>
      <c r="AH74" s="64">
        <f t="shared" si="61"/>
        <v>5000</v>
      </c>
      <c r="AI74" s="64">
        <f t="shared" si="61"/>
        <v>5000</v>
      </c>
      <c r="AJ74" s="64">
        <f t="shared" si="61"/>
        <v>5000</v>
      </c>
      <c r="AK74" s="64">
        <f t="shared" si="61"/>
        <v>5000</v>
      </c>
      <c r="AL74" s="64">
        <f t="shared" si="61"/>
        <v>5000</v>
      </c>
      <c r="AM74" s="64">
        <f t="shared" si="61"/>
        <v>5000</v>
      </c>
      <c r="AN74" s="64">
        <f t="shared" si="61"/>
        <v>5000</v>
      </c>
      <c r="AO74" s="64">
        <f t="shared" si="61"/>
        <v>5000</v>
      </c>
      <c r="AP74" s="64">
        <f t="shared" si="61"/>
        <v>5000</v>
      </c>
      <c r="AQ74" s="64">
        <f t="shared" si="61"/>
        <v>5000</v>
      </c>
      <c r="AR74" s="64">
        <f t="shared" si="61"/>
        <v>5000</v>
      </c>
      <c r="AS74" s="64">
        <f t="shared" si="61"/>
        <v>5000</v>
      </c>
      <c r="AT74" s="64">
        <f t="shared" si="61"/>
        <v>5000</v>
      </c>
      <c r="AU74" s="64">
        <f t="shared" si="61"/>
        <v>5000</v>
      </c>
      <c r="AV74" s="64">
        <f t="shared" si="61"/>
        <v>5000</v>
      </c>
      <c r="AW74" s="64">
        <f t="shared" si="61"/>
        <v>5000</v>
      </c>
      <c r="AX74" s="64">
        <f t="shared" si="61"/>
        <v>5000</v>
      </c>
      <c r="AY74" s="64">
        <f t="shared" si="61"/>
        <v>5000</v>
      </c>
      <c r="AZ74" s="64">
        <f t="shared" si="61"/>
        <v>5000</v>
      </c>
      <c r="BA74" s="64">
        <f t="shared" si="61"/>
        <v>5000</v>
      </c>
      <c r="BB74" s="64">
        <f t="shared" si="61"/>
        <v>0</v>
      </c>
      <c r="BC74" s="64">
        <f t="shared" si="61"/>
        <v>0</v>
      </c>
      <c r="BD74" s="67">
        <f t="shared" si="49"/>
        <v>220000</v>
      </c>
      <c r="BG74" s="64">
        <f t="shared" si="50"/>
        <v>0</v>
      </c>
      <c r="BH74" s="64">
        <f t="shared" si="51"/>
        <v>40000</v>
      </c>
      <c r="BI74" s="64">
        <f t="shared" si="52"/>
        <v>60000</v>
      </c>
      <c r="BJ74" s="64">
        <f t="shared" si="53"/>
        <v>60000</v>
      </c>
      <c r="BK74" s="64">
        <f t="shared" si="29"/>
        <v>60000</v>
      </c>
      <c r="BL74" s="64">
        <f t="shared" si="39"/>
        <v>0</v>
      </c>
      <c r="BM74" s="64">
        <f t="shared" si="54"/>
        <v>220000</v>
      </c>
    </row>
    <row r="75" spans="1:65">
      <c r="A75" s="100" t="s">
        <v>115</v>
      </c>
      <c r="E75" s="64">
        <v>0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v>0</v>
      </c>
      <c r="Q75" s="64">
        <v>0</v>
      </c>
      <c r="R75" s="64">
        <f>150000/12</f>
        <v>12500</v>
      </c>
      <c r="S75" s="64">
        <f t="shared" ref="S75:AC75" si="62">150000/12</f>
        <v>12500</v>
      </c>
      <c r="T75" s="64">
        <f t="shared" si="62"/>
        <v>12500</v>
      </c>
      <c r="U75" s="64">
        <f t="shared" si="62"/>
        <v>12500</v>
      </c>
      <c r="V75" s="64">
        <f t="shared" si="62"/>
        <v>12500</v>
      </c>
      <c r="W75" s="64">
        <f t="shared" si="62"/>
        <v>12500</v>
      </c>
      <c r="X75" s="64">
        <f t="shared" si="62"/>
        <v>12500</v>
      </c>
      <c r="Y75" s="64">
        <f t="shared" si="62"/>
        <v>12500</v>
      </c>
      <c r="Z75" s="64">
        <f t="shared" si="62"/>
        <v>12500</v>
      </c>
      <c r="AA75" s="64">
        <f t="shared" si="62"/>
        <v>12500</v>
      </c>
      <c r="AB75" s="64">
        <f t="shared" si="62"/>
        <v>12500</v>
      </c>
      <c r="AC75" s="64">
        <f t="shared" si="62"/>
        <v>12500</v>
      </c>
      <c r="AD75" s="64">
        <v>0</v>
      </c>
      <c r="AE75" s="64">
        <v>0</v>
      </c>
      <c r="AF75" s="64">
        <v>0</v>
      </c>
      <c r="AG75" s="64">
        <v>0</v>
      </c>
      <c r="AH75" s="64">
        <v>0</v>
      </c>
      <c r="AI75" s="64">
        <v>0</v>
      </c>
      <c r="AJ75" s="64">
        <v>0</v>
      </c>
      <c r="AK75" s="64">
        <v>0</v>
      </c>
      <c r="AL75" s="64">
        <v>0</v>
      </c>
      <c r="AM75" s="64">
        <v>0</v>
      </c>
      <c r="AN75" s="64">
        <v>0</v>
      </c>
      <c r="AO75" s="64">
        <v>0</v>
      </c>
      <c r="AP75" s="64">
        <v>0</v>
      </c>
      <c r="AQ75" s="64">
        <v>0</v>
      </c>
      <c r="AR75" s="64">
        <v>0</v>
      </c>
      <c r="AS75" s="64">
        <v>0</v>
      </c>
      <c r="AT75" s="64">
        <v>0</v>
      </c>
      <c r="AU75" s="64">
        <v>0</v>
      </c>
      <c r="AV75" s="64">
        <v>0</v>
      </c>
      <c r="AW75" s="64">
        <v>0</v>
      </c>
      <c r="AX75" s="64">
        <v>0</v>
      </c>
      <c r="AY75" s="64">
        <v>0</v>
      </c>
      <c r="AZ75" s="64">
        <v>0</v>
      </c>
      <c r="BA75" s="64">
        <v>0</v>
      </c>
      <c r="BB75" s="64">
        <v>0</v>
      </c>
      <c r="BC75" s="64">
        <v>0</v>
      </c>
      <c r="BD75" s="67">
        <f t="shared" si="49"/>
        <v>150000</v>
      </c>
      <c r="BG75" s="64">
        <f t="shared" si="50"/>
        <v>0</v>
      </c>
      <c r="BH75" s="64">
        <f t="shared" si="51"/>
        <v>0</v>
      </c>
      <c r="BI75" s="64">
        <f t="shared" si="52"/>
        <v>150000</v>
      </c>
      <c r="BJ75" s="64">
        <f t="shared" si="53"/>
        <v>0</v>
      </c>
      <c r="BK75" s="64">
        <f t="shared" si="29"/>
        <v>0</v>
      </c>
      <c r="BL75" s="64">
        <f t="shared" si="39"/>
        <v>0</v>
      </c>
      <c r="BM75" s="64">
        <f t="shared" si="54"/>
        <v>150000</v>
      </c>
    </row>
    <row r="76" spans="1:65">
      <c r="A76" s="100" t="s">
        <v>116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v>0</v>
      </c>
      <c r="Q76" s="64">
        <v>0</v>
      </c>
      <c r="R76" s="64">
        <f>25000/12</f>
        <v>2083.33333333333</v>
      </c>
      <c r="S76" s="64">
        <f t="shared" ref="S76:AC76" si="63">25000/12</f>
        <v>2083.33333333333</v>
      </c>
      <c r="T76" s="64">
        <f t="shared" si="63"/>
        <v>2083.33333333333</v>
      </c>
      <c r="U76" s="64">
        <f t="shared" si="63"/>
        <v>2083.33333333333</v>
      </c>
      <c r="V76" s="64">
        <f t="shared" si="63"/>
        <v>2083.33333333333</v>
      </c>
      <c r="W76" s="64">
        <f t="shared" si="63"/>
        <v>2083.33333333333</v>
      </c>
      <c r="X76" s="64">
        <f t="shared" si="63"/>
        <v>2083.33333333333</v>
      </c>
      <c r="Y76" s="64">
        <f t="shared" si="63"/>
        <v>2083.33333333333</v>
      </c>
      <c r="Z76" s="64">
        <f t="shared" si="63"/>
        <v>2083.33333333333</v>
      </c>
      <c r="AA76" s="64">
        <f t="shared" si="63"/>
        <v>2083.33333333333</v>
      </c>
      <c r="AB76" s="64">
        <f t="shared" si="63"/>
        <v>2083.33333333333</v>
      </c>
      <c r="AC76" s="64">
        <f t="shared" si="63"/>
        <v>2083.33333333333</v>
      </c>
      <c r="AD76" s="64">
        <v>0</v>
      </c>
      <c r="AE76" s="64">
        <v>0</v>
      </c>
      <c r="AF76" s="64">
        <v>0</v>
      </c>
      <c r="AG76" s="64">
        <v>0</v>
      </c>
      <c r="AH76" s="64">
        <v>0</v>
      </c>
      <c r="AI76" s="64">
        <v>0</v>
      </c>
      <c r="AJ76" s="64">
        <v>0</v>
      </c>
      <c r="AK76" s="64">
        <v>0</v>
      </c>
      <c r="AL76" s="64">
        <v>0</v>
      </c>
      <c r="AM76" s="64">
        <v>0</v>
      </c>
      <c r="AN76" s="64">
        <v>0</v>
      </c>
      <c r="AO76" s="64">
        <v>0</v>
      </c>
      <c r="AP76" s="64">
        <v>0</v>
      </c>
      <c r="AQ76" s="64">
        <v>0</v>
      </c>
      <c r="AR76" s="64">
        <v>0</v>
      </c>
      <c r="AS76" s="64">
        <v>0</v>
      </c>
      <c r="AT76" s="64">
        <v>0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7">
        <f t="shared" si="49"/>
        <v>25000</v>
      </c>
      <c r="BG76" s="64">
        <f t="shared" si="50"/>
        <v>0</v>
      </c>
      <c r="BH76" s="64">
        <f t="shared" si="51"/>
        <v>0</v>
      </c>
      <c r="BI76" s="64">
        <f t="shared" si="52"/>
        <v>25000</v>
      </c>
      <c r="BJ76" s="64">
        <f t="shared" si="53"/>
        <v>0</v>
      </c>
      <c r="BK76" s="64">
        <f t="shared" si="29"/>
        <v>0</v>
      </c>
      <c r="BL76" s="64">
        <f t="shared" si="39"/>
        <v>0</v>
      </c>
      <c r="BM76" s="64">
        <f t="shared" si="54"/>
        <v>25000</v>
      </c>
    </row>
    <row r="77" spans="1:65">
      <c r="A77" s="100" t="s">
        <v>117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v>0</v>
      </c>
      <c r="Q77" s="64">
        <v>0</v>
      </c>
      <c r="R77" s="64">
        <f>13500/12</f>
        <v>1125</v>
      </c>
      <c r="S77" s="64">
        <f t="shared" ref="S77:AC77" si="64">13500/12</f>
        <v>1125</v>
      </c>
      <c r="T77" s="64">
        <f t="shared" si="64"/>
        <v>1125</v>
      </c>
      <c r="U77" s="64">
        <f t="shared" si="64"/>
        <v>1125</v>
      </c>
      <c r="V77" s="64">
        <f t="shared" si="64"/>
        <v>1125</v>
      </c>
      <c r="W77" s="64">
        <f t="shared" si="64"/>
        <v>1125</v>
      </c>
      <c r="X77" s="64">
        <f t="shared" si="64"/>
        <v>1125</v>
      </c>
      <c r="Y77" s="64">
        <f t="shared" si="64"/>
        <v>1125</v>
      </c>
      <c r="Z77" s="64">
        <f t="shared" si="64"/>
        <v>1125</v>
      </c>
      <c r="AA77" s="64">
        <f t="shared" si="64"/>
        <v>1125</v>
      </c>
      <c r="AB77" s="64">
        <f t="shared" si="64"/>
        <v>1125</v>
      </c>
      <c r="AC77" s="64">
        <f t="shared" si="64"/>
        <v>1125</v>
      </c>
      <c r="AD77" s="64">
        <v>0</v>
      </c>
      <c r="AE77" s="64">
        <v>0</v>
      </c>
      <c r="AF77" s="64">
        <v>0</v>
      </c>
      <c r="AG77" s="64">
        <v>0</v>
      </c>
      <c r="AH77" s="64">
        <v>0</v>
      </c>
      <c r="AI77" s="64">
        <v>0</v>
      </c>
      <c r="AJ77" s="64">
        <v>0</v>
      </c>
      <c r="AK77" s="64">
        <v>0</v>
      </c>
      <c r="AL77" s="64">
        <v>0</v>
      </c>
      <c r="AM77" s="64">
        <v>0</v>
      </c>
      <c r="AN77" s="64">
        <v>0</v>
      </c>
      <c r="AO77" s="64">
        <v>0</v>
      </c>
      <c r="AP77" s="64">
        <v>0</v>
      </c>
      <c r="AQ77" s="64">
        <v>0</v>
      </c>
      <c r="AR77" s="64">
        <v>0</v>
      </c>
      <c r="AS77" s="64">
        <v>0</v>
      </c>
      <c r="AT77" s="64">
        <v>0</v>
      </c>
      <c r="AU77" s="64">
        <v>0</v>
      </c>
      <c r="AV77" s="64">
        <v>0</v>
      </c>
      <c r="AW77" s="64">
        <v>0</v>
      </c>
      <c r="AX77" s="64">
        <v>0</v>
      </c>
      <c r="AY77" s="64">
        <v>0</v>
      </c>
      <c r="AZ77" s="64">
        <v>0</v>
      </c>
      <c r="BA77" s="64">
        <v>0</v>
      </c>
      <c r="BB77" s="64">
        <v>0</v>
      </c>
      <c r="BC77" s="64">
        <v>0</v>
      </c>
      <c r="BD77" s="67">
        <f t="shared" si="49"/>
        <v>13500</v>
      </c>
      <c r="BG77" s="64">
        <f t="shared" si="50"/>
        <v>0</v>
      </c>
      <c r="BH77" s="64">
        <f t="shared" si="51"/>
        <v>0</v>
      </c>
      <c r="BI77" s="64">
        <f t="shared" si="52"/>
        <v>13500</v>
      </c>
      <c r="BJ77" s="64">
        <f t="shared" si="53"/>
        <v>0</v>
      </c>
      <c r="BK77" s="64">
        <f t="shared" si="29"/>
        <v>0</v>
      </c>
      <c r="BL77" s="64">
        <f t="shared" si="39"/>
        <v>0</v>
      </c>
      <c r="BM77" s="64">
        <f t="shared" si="54"/>
        <v>13500</v>
      </c>
    </row>
    <row r="78" spans="1:65">
      <c r="A78" s="134" t="s">
        <v>118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v>0</v>
      </c>
      <c r="Q78" s="64">
        <v>0</v>
      </c>
      <c r="R78" s="64">
        <f>100000/12/60*SUMMARY!$G$9</f>
        <v>12222.2222222222</v>
      </c>
      <c r="S78" s="64">
        <f>100000/12/60*SUMMARY!$G$9</f>
        <v>12222.2222222222</v>
      </c>
      <c r="T78" s="64">
        <f>100000/12/60*SUMMARY!$G$9</f>
        <v>12222.2222222222</v>
      </c>
      <c r="U78" s="64">
        <f>100000/12/60*SUMMARY!$G$9</f>
        <v>12222.2222222222</v>
      </c>
      <c r="V78" s="64">
        <f>100000/12/60*SUMMARY!$G$9</f>
        <v>12222.2222222222</v>
      </c>
      <c r="W78" s="64">
        <f>100000/12/60*SUMMARY!$G$9</f>
        <v>12222.2222222222</v>
      </c>
      <c r="X78" s="64">
        <f>100000/12/60*SUMMARY!$G$9</f>
        <v>12222.2222222222</v>
      </c>
      <c r="Y78" s="64">
        <f>100000/12/60*SUMMARY!$G$9</f>
        <v>12222.2222222222</v>
      </c>
      <c r="Z78" s="64">
        <f>100000/12/60*SUMMARY!$G$9</f>
        <v>12222.2222222222</v>
      </c>
      <c r="AA78" s="64">
        <f>100000/12/60*SUMMARY!$G$9</f>
        <v>12222.2222222222</v>
      </c>
      <c r="AB78" s="64">
        <f>100000/12/60*SUMMARY!$G$9</f>
        <v>12222.2222222222</v>
      </c>
      <c r="AC78" s="64">
        <f>100000/12/60*SUMMARY!$G$9</f>
        <v>12222.2222222222</v>
      </c>
      <c r="AD78" s="64">
        <v>0</v>
      </c>
      <c r="AE78" s="64">
        <v>0</v>
      </c>
      <c r="AF78" s="64">
        <v>0</v>
      </c>
      <c r="AG78" s="64">
        <v>0</v>
      </c>
      <c r="AH78" s="64">
        <v>0</v>
      </c>
      <c r="AI78" s="64">
        <v>0</v>
      </c>
      <c r="AJ78" s="64">
        <v>0</v>
      </c>
      <c r="AK78" s="64">
        <v>0</v>
      </c>
      <c r="AL78" s="64">
        <v>0</v>
      </c>
      <c r="AM78" s="64">
        <v>0</v>
      </c>
      <c r="AN78" s="64">
        <v>0</v>
      </c>
      <c r="AO78" s="64">
        <v>0</v>
      </c>
      <c r="AP78" s="64">
        <v>0</v>
      </c>
      <c r="AQ78" s="64">
        <v>0</v>
      </c>
      <c r="AR78" s="64">
        <v>0</v>
      </c>
      <c r="AS78" s="64">
        <v>0</v>
      </c>
      <c r="AT78" s="64">
        <v>0</v>
      </c>
      <c r="AU78" s="64">
        <v>0</v>
      </c>
      <c r="AV78" s="64">
        <v>0</v>
      </c>
      <c r="AW78" s="64">
        <v>0</v>
      </c>
      <c r="AX78" s="64">
        <v>0</v>
      </c>
      <c r="AY78" s="64">
        <v>0</v>
      </c>
      <c r="AZ78" s="64">
        <v>0</v>
      </c>
      <c r="BA78" s="64">
        <v>0</v>
      </c>
      <c r="BB78" s="64">
        <v>0</v>
      </c>
      <c r="BC78" s="64">
        <v>0</v>
      </c>
      <c r="BD78" s="67">
        <f t="shared" si="49"/>
        <v>146666.666666667</v>
      </c>
      <c r="BG78" s="64">
        <f t="shared" si="50"/>
        <v>0</v>
      </c>
      <c r="BH78" s="64">
        <f t="shared" si="51"/>
        <v>0</v>
      </c>
      <c r="BI78" s="64">
        <f t="shared" si="52"/>
        <v>146666.666666667</v>
      </c>
      <c r="BJ78" s="64">
        <f t="shared" si="53"/>
        <v>0</v>
      </c>
      <c r="BK78" s="64">
        <f t="shared" si="29"/>
        <v>0</v>
      </c>
      <c r="BL78" s="64">
        <f t="shared" si="39"/>
        <v>0</v>
      </c>
      <c r="BM78" s="64">
        <f t="shared" si="54"/>
        <v>146666.666666667</v>
      </c>
    </row>
    <row r="79" spans="1:65">
      <c r="A79" s="110">
        <v>0.1</v>
      </c>
      <c r="E79" s="98">
        <v>0</v>
      </c>
      <c r="F79" s="98">
        <v>0</v>
      </c>
      <c r="G79" s="98">
        <v>0</v>
      </c>
      <c r="H79" s="98">
        <v>0</v>
      </c>
      <c r="I79" s="98">
        <v>0</v>
      </c>
      <c r="J79" s="98">
        <v>0</v>
      </c>
      <c r="K79" s="98">
        <v>0</v>
      </c>
      <c r="L79" s="98">
        <v>0</v>
      </c>
      <c r="M79" s="98">
        <v>0</v>
      </c>
      <c r="N79" s="98">
        <v>0</v>
      </c>
      <c r="O79" s="98">
        <v>0</v>
      </c>
      <c r="P79" s="98">
        <v>0</v>
      </c>
      <c r="Q79" s="98">
        <v>0</v>
      </c>
      <c r="R79" s="98">
        <f t="shared" ref="R79:AC79" si="65">SUM(R68:R78)*$A$79</f>
        <v>7290.46690105556</v>
      </c>
      <c r="S79" s="98">
        <f t="shared" si="65"/>
        <v>7352.31974980556</v>
      </c>
      <c r="T79" s="98">
        <f t="shared" si="65"/>
        <v>8396.80796941556</v>
      </c>
      <c r="U79" s="98">
        <f t="shared" si="65"/>
        <v>8347.79052627667</v>
      </c>
      <c r="V79" s="98">
        <f t="shared" si="65"/>
        <v>8347.79052627667</v>
      </c>
      <c r="W79" s="98">
        <f t="shared" si="65"/>
        <v>8347.79052627667</v>
      </c>
      <c r="X79" s="98">
        <f t="shared" si="65"/>
        <v>8409.64336127667</v>
      </c>
      <c r="Y79" s="98">
        <f t="shared" si="65"/>
        <v>8022.11500247667</v>
      </c>
      <c r="Z79" s="98">
        <f t="shared" si="65"/>
        <v>8022.11500247667</v>
      </c>
      <c r="AA79" s="98">
        <f t="shared" si="65"/>
        <v>8102.78166914333</v>
      </c>
      <c r="AB79" s="98">
        <f t="shared" si="65"/>
        <v>8102.78166914333</v>
      </c>
      <c r="AC79" s="98">
        <f t="shared" si="65"/>
        <v>8102.78166914333</v>
      </c>
      <c r="AD79" s="98">
        <v>0</v>
      </c>
      <c r="AE79" s="98">
        <v>0</v>
      </c>
      <c r="AF79" s="98">
        <v>0</v>
      </c>
      <c r="AG79" s="98">
        <v>0</v>
      </c>
      <c r="AH79" s="98">
        <v>0</v>
      </c>
      <c r="AI79" s="98">
        <v>0</v>
      </c>
      <c r="AJ79" s="98">
        <v>0</v>
      </c>
      <c r="AK79" s="98">
        <v>0</v>
      </c>
      <c r="AL79" s="98">
        <v>0</v>
      </c>
      <c r="AM79" s="98">
        <v>0</v>
      </c>
      <c r="AN79" s="98">
        <v>0</v>
      </c>
      <c r="AO79" s="98">
        <v>0</v>
      </c>
      <c r="AP79" s="98">
        <v>0</v>
      </c>
      <c r="AQ79" s="98">
        <v>0</v>
      </c>
      <c r="AR79" s="98">
        <v>0</v>
      </c>
      <c r="AS79" s="98">
        <v>0</v>
      </c>
      <c r="AT79" s="98">
        <v>0</v>
      </c>
      <c r="AU79" s="98">
        <v>0</v>
      </c>
      <c r="AV79" s="98">
        <v>0</v>
      </c>
      <c r="AW79" s="98">
        <v>0</v>
      </c>
      <c r="AX79" s="98">
        <v>0</v>
      </c>
      <c r="AY79" s="98">
        <v>0</v>
      </c>
      <c r="AZ79" s="98">
        <v>0</v>
      </c>
      <c r="BA79" s="98">
        <v>0</v>
      </c>
      <c r="BB79" s="98">
        <v>0</v>
      </c>
      <c r="BC79" s="98">
        <v>0</v>
      </c>
      <c r="BD79" s="141">
        <f t="shared" si="49"/>
        <v>96845.1845727667</v>
      </c>
      <c r="BG79" s="98">
        <f t="shared" si="50"/>
        <v>0</v>
      </c>
      <c r="BH79" s="98">
        <f t="shared" si="51"/>
        <v>0</v>
      </c>
      <c r="BI79" s="98">
        <f t="shared" si="52"/>
        <v>96845.1845727667</v>
      </c>
      <c r="BJ79" s="98">
        <f t="shared" si="53"/>
        <v>0</v>
      </c>
      <c r="BK79" s="474">
        <f t="shared" si="29"/>
        <v>0</v>
      </c>
      <c r="BL79" s="474">
        <f t="shared" si="39"/>
        <v>0</v>
      </c>
      <c r="BM79" s="474">
        <f t="shared" si="54"/>
        <v>96845.1845727667</v>
      </c>
    </row>
    <row r="80" spans="1:65">
      <c r="A80" s="2" t="s">
        <v>32</v>
      </c>
      <c r="E80" s="129">
        <f>SUM(E22:E79)</f>
        <v>0</v>
      </c>
      <c r="F80" s="129">
        <f>SUM(F22:F79)</f>
        <v>441145.833333333</v>
      </c>
      <c r="G80" s="129">
        <f t="shared" ref="G80:BC80" si="66">SUM(G22:G79)</f>
        <v>83645.8333333333</v>
      </c>
      <c r="H80" s="129">
        <f t="shared" si="66"/>
        <v>83645.8333333333</v>
      </c>
      <c r="I80" s="129">
        <f t="shared" si="66"/>
        <v>540145.833333333</v>
      </c>
      <c r="J80" s="129">
        <f t="shared" si="66"/>
        <v>44645.8333333333</v>
      </c>
      <c r="K80" s="129">
        <f t="shared" si="66"/>
        <v>33645.8333333333</v>
      </c>
      <c r="L80" s="129">
        <f t="shared" si="66"/>
        <v>44645.8333333333</v>
      </c>
      <c r="M80" s="129">
        <f t="shared" si="66"/>
        <v>264645.833333333</v>
      </c>
      <c r="N80" s="129">
        <f t="shared" si="66"/>
        <v>99645.8333333333</v>
      </c>
      <c r="O80" s="129">
        <f t="shared" si="66"/>
        <v>99645.8333333333</v>
      </c>
      <c r="P80" s="129">
        <f t="shared" si="66"/>
        <v>39145.8333333333</v>
      </c>
      <c r="Q80" s="129">
        <f t="shared" si="66"/>
        <v>44645.8333333333</v>
      </c>
      <c r="R80" s="129">
        <f t="shared" si="66"/>
        <v>261802.699578278</v>
      </c>
      <c r="S80" s="129">
        <f t="shared" si="66"/>
        <v>303718.313414528</v>
      </c>
      <c r="T80" s="129">
        <f t="shared" si="66"/>
        <v>1011533.16357024</v>
      </c>
      <c r="U80" s="129">
        <f t="shared" si="66"/>
        <v>978315.676269784</v>
      </c>
      <c r="V80" s="129">
        <f t="shared" si="66"/>
        <v>978315.676269784</v>
      </c>
      <c r="W80" s="129">
        <f t="shared" si="66"/>
        <v>978315.676269784</v>
      </c>
      <c r="X80" s="129">
        <f t="shared" si="66"/>
        <v>1020231.28078812</v>
      </c>
      <c r="Y80" s="129">
        <f t="shared" si="66"/>
        <v>757616.229641317</v>
      </c>
      <c r="Z80" s="129">
        <f t="shared" si="66"/>
        <v>757616.229641317</v>
      </c>
      <c r="AA80" s="129">
        <f t="shared" si="66"/>
        <v>812281.340752429</v>
      </c>
      <c r="AB80" s="129">
        <f t="shared" si="66"/>
        <v>812281.340752429</v>
      </c>
      <c r="AC80" s="129">
        <f t="shared" si="66"/>
        <v>812281.340752429</v>
      </c>
      <c r="AD80" s="129">
        <f t="shared" si="66"/>
        <v>27585.2272727273</v>
      </c>
      <c r="AE80" s="129">
        <f t="shared" si="66"/>
        <v>27348.4848484848</v>
      </c>
      <c r="AF80" s="129">
        <f t="shared" si="66"/>
        <v>27111.7424242424</v>
      </c>
      <c r="AG80" s="129">
        <f t="shared" si="66"/>
        <v>26875</v>
      </c>
      <c r="AH80" s="129">
        <f t="shared" si="66"/>
        <v>26638.2575757576</v>
      </c>
      <c r="AI80" s="129">
        <f t="shared" si="66"/>
        <v>26401.5151515152</v>
      </c>
      <c r="AJ80" s="129">
        <f t="shared" si="66"/>
        <v>26164.7727272727</v>
      </c>
      <c r="AK80" s="129">
        <f t="shared" si="66"/>
        <v>25928.0303030303</v>
      </c>
      <c r="AL80" s="129">
        <f t="shared" si="66"/>
        <v>25691.2878787879</v>
      </c>
      <c r="AM80" s="129">
        <f t="shared" si="66"/>
        <v>25454.5454545455</v>
      </c>
      <c r="AN80" s="129">
        <f t="shared" si="66"/>
        <v>25217.803030303</v>
      </c>
      <c r="AO80" s="129">
        <f t="shared" si="66"/>
        <v>24981.0606060606</v>
      </c>
      <c r="AP80" s="129">
        <f t="shared" si="66"/>
        <v>8077.65151515152</v>
      </c>
      <c r="AQ80" s="129">
        <f t="shared" si="66"/>
        <v>7840.90909090909</v>
      </c>
      <c r="AR80" s="129">
        <f t="shared" si="66"/>
        <v>7604.16666666667</v>
      </c>
      <c r="AS80" s="129">
        <f t="shared" si="66"/>
        <v>7367.42424242424</v>
      </c>
      <c r="AT80" s="129">
        <f t="shared" si="66"/>
        <v>7130.68181818182</v>
      </c>
      <c r="AU80" s="129">
        <f t="shared" si="66"/>
        <v>6893.93939393939</v>
      </c>
      <c r="AV80" s="129">
        <f t="shared" si="66"/>
        <v>6657.19696969697</v>
      </c>
      <c r="AW80" s="129">
        <f t="shared" si="66"/>
        <v>6420.45454545455</v>
      </c>
      <c r="AX80" s="129">
        <f t="shared" si="66"/>
        <v>6183.71212121212</v>
      </c>
      <c r="AY80" s="129">
        <f t="shared" si="66"/>
        <v>5946.9696969697</v>
      </c>
      <c r="AZ80" s="129">
        <f t="shared" si="66"/>
        <v>5710.22727272727</v>
      </c>
      <c r="BA80" s="129">
        <f t="shared" si="66"/>
        <v>5473.48484848485</v>
      </c>
      <c r="BB80" s="129">
        <f t="shared" si="66"/>
        <v>236.742424242424</v>
      </c>
      <c r="BC80" s="129">
        <f t="shared" si="66"/>
        <v>0</v>
      </c>
      <c r="BD80" s="60">
        <f t="shared" ref="BD80" si="67">SUM(BD25:BD79)</f>
        <v>11700500.2555792</v>
      </c>
      <c r="BG80" s="64">
        <f t="shared" si="50"/>
        <v>0</v>
      </c>
      <c r="BH80" s="64">
        <f t="shared" si="51"/>
        <v>1819250</v>
      </c>
      <c r="BI80" s="64">
        <f t="shared" si="52"/>
        <v>9484308.96770043</v>
      </c>
      <c r="BJ80" s="64">
        <f t="shared" si="53"/>
        <v>315397.727272727</v>
      </c>
      <c r="BK80" s="64">
        <f>SUM(AP80:BA80)</f>
        <v>81306.8181818182</v>
      </c>
      <c r="BL80" s="64">
        <f>SUM(BB80:BC80)</f>
        <v>236.742424242424</v>
      </c>
      <c r="BM80" s="64">
        <f>SUM(BG80:BL80)</f>
        <v>11700500.2555792</v>
      </c>
    </row>
    <row r="81" spans="1:65">
      <c r="E81" s="64"/>
      <c r="F81" s="66"/>
      <c r="G81" s="64"/>
      <c r="H81" s="64"/>
      <c r="I81" s="64"/>
      <c r="J81" s="64"/>
      <c r="K81" s="64"/>
      <c r="L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7"/>
      <c r="BG81" s="64"/>
      <c r="BH81" s="64"/>
      <c r="BI81" s="64"/>
      <c r="BJ81" s="64"/>
      <c r="BK81" s="64"/>
      <c r="BL81" s="64"/>
      <c r="BM81" s="64"/>
    </row>
    <row r="82" spans="1:65">
      <c r="A82" s="1" t="s">
        <v>8</v>
      </c>
      <c r="E82" s="66">
        <f t="shared" ref="E82:AJ82" si="68">+E19-E80</f>
        <v>0</v>
      </c>
      <c r="F82" s="66">
        <f t="shared" si="68"/>
        <v>-441145.833333333</v>
      </c>
      <c r="G82" s="66">
        <f t="shared" si="68"/>
        <v>-83645.8333333333</v>
      </c>
      <c r="H82" s="66">
        <f t="shared" si="68"/>
        <v>-83645.8333333333</v>
      </c>
      <c r="I82" s="66">
        <f t="shared" si="68"/>
        <v>-540145.833333333</v>
      </c>
      <c r="J82" s="66">
        <f t="shared" si="68"/>
        <v>-44645.8333333333</v>
      </c>
      <c r="K82" s="66">
        <f t="shared" si="68"/>
        <v>-33645.8333333333</v>
      </c>
      <c r="L82" s="66">
        <f t="shared" si="68"/>
        <v>-44645.8333333333</v>
      </c>
      <c r="M82" s="66">
        <f t="shared" si="68"/>
        <v>-264645.833333333</v>
      </c>
      <c r="N82" s="66">
        <f t="shared" si="68"/>
        <v>-99645.8333333333</v>
      </c>
      <c r="O82" s="66">
        <f t="shared" si="68"/>
        <v>-99645.8333333333</v>
      </c>
      <c r="P82" s="66">
        <f t="shared" si="68"/>
        <v>-39145.8333333333</v>
      </c>
      <c r="Q82" s="66">
        <f t="shared" si="68"/>
        <v>-44645.8333333333</v>
      </c>
      <c r="R82" s="66">
        <f t="shared" si="68"/>
        <v>-261802.699578278</v>
      </c>
      <c r="S82" s="66">
        <f t="shared" si="68"/>
        <v>-303718.313414528</v>
      </c>
      <c r="T82" s="66">
        <f t="shared" si="68"/>
        <v>-1011533.16357024</v>
      </c>
      <c r="U82" s="66">
        <f t="shared" si="68"/>
        <v>-978315.676269784</v>
      </c>
      <c r="V82" s="66">
        <f t="shared" si="68"/>
        <v>-978315.676269784</v>
      </c>
      <c r="W82" s="66">
        <f t="shared" si="68"/>
        <v>-978315.676269784</v>
      </c>
      <c r="X82" s="66">
        <f t="shared" si="68"/>
        <v>-1020231.28078812</v>
      </c>
      <c r="Y82" s="66">
        <f t="shared" si="68"/>
        <v>-757616.229641317</v>
      </c>
      <c r="Z82" s="66">
        <f t="shared" si="68"/>
        <v>-757616.229641317</v>
      </c>
      <c r="AA82" s="66">
        <f t="shared" si="68"/>
        <v>-812281.340752429</v>
      </c>
      <c r="AB82" s="66">
        <f t="shared" si="68"/>
        <v>-812281.340752429</v>
      </c>
      <c r="AC82" s="66">
        <f t="shared" si="68"/>
        <v>-812281.340752429</v>
      </c>
      <c r="AD82" s="66">
        <f t="shared" si="68"/>
        <v>14482054.1733744</v>
      </c>
      <c r="AE82" s="66">
        <f t="shared" si="68"/>
        <v>736316.74676452</v>
      </c>
      <c r="AF82" s="66">
        <f t="shared" si="68"/>
        <v>736553.489188763</v>
      </c>
      <c r="AG82" s="66">
        <f t="shared" si="68"/>
        <v>736790.231613005</v>
      </c>
      <c r="AH82" s="66">
        <f t="shared" si="68"/>
        <v>737026.974037248</v>
      </c>
      <c r="AI82" s="66">
        <f t="shared" si="68"/>
        <v>737263.71646149</v>
      </c>
      <c r="AJ82" s="66">
        <f t="shared" si="68"/>
        <v>737500.458885732</v>
      </c>
      <c r="AK82" s="66">
        <f t="shared" ref="AK82:AX82" si="69">+AK19-AK80</f>
        <v>737737.201309975</v>
      </c>
      <c r="AL82" s="66">
        <f t="shared" si="69"/>
        <v>737973.943734217</v>
      </c>
      <c r="AM82" s="66">
        <f t="shared" si="69"/>
        <v>738210.68615846</v>
      </c>
      <c r="AN82" s="66">
        <f t="shared" si="69"/>
        <v>738447.428582702</v>
      </c>
      <c r="AO82" s="66">
        <f t="shared" si="69"/>
        <v>738684.171006945</v>
      </c>
      <c r="AP82" s="66">
        <f t="shared" si="69"/>
        <v>758769.518562908</v>
      </c>
      <c r="AQ82" s="66">
        <f t="shared" si="69"/>
        <v>759006.26098715</v>
      </c>
      <c r="AR82" s="66">
        <f t="shared" si="69"/>
        <v>759243.003411393</v>
      </c>
      <c r="AS82" s="66">
        <f t="shared" si="69"/>
        <v>759479.745835635</v>
      </c>
      <c r="AT82" s="66">
        <f t="shared" si="69"/>
        <v>759716.488259877</v>
      </c>
      <c r="AU82" s="66">
        <f t="shared" si="69"/>
        <v>759953.23068412</v>
      </c>
      <c r="AV82" s="66">
        <f t="shared" si="69"/>
        <v>760189.973108362</v>
      </c>
      <c r="AW82" s="66">
        <f t="shared" si="69"/>
        <v>760426.715532605</v>
      </c>
      <c r="AX82" s="66">
        <f t="shared" si="69"/>
        <v>760663.457956847</v>
      </c>
      <c r="AY82" s="66">
        <f t="shared" ref="AY82:BA82" si="70">+AY19-AY80</f>
        <v>760900.20038109</v>
      </c>
      <c r="AZ82" s="66">
        <f t="shared" si="70"/>
        <v>761136.942805332</v>
      </c>
      <c r="BA82" s="66">
        <f t="shared" si="70"/>
        <v>761373.685229574</v>
      </c>
      <c r="BB82" s="66">
        <f>+BB19-BB80</f>
        <v>769805.624195809</v>
      </c>
      <c r="BC82" s="66">
        <f>+BC19-BC80</f>
        <v>770042.366620051</v>
      </c>
      <c r="BD82" s="66">
        <f>+BD19-BD80</f>
        <v>21951707.4669877</v>
      </c>
      <c r="BG82" s="64">
        <f>E82</f>
        <v>0</v>
      </c>
      <c r="BH82" s="64">
        <f>SUM(F82:Q82)</f>
        <v>-1819250</v>
      </c>
      <c r="BI82" s="64">
        <f>SUM(R82:AC82)</f>
        <v>-9484308.96770043</v>
      </c>
      <c r="BJ82" s="64">
        <f>SUM(AD82:AO82)</f>
        <v>22594559.2211174</v>
      </c>
      <c r="BK82" s="64">
        <f>SUM(AP82:BA82)</f>
        <v>9120859.22275489</v>
      </c>
      <c r="BL82" s="64">
        <f>SUM(BB82:BC82)</f>
        <v>1539847.99081586</v>
      </c>
      <c r="BM82" s="64">
        <f>SUM(BG82:BL82)</f>
        <v>21951707.4669877</v>
      </c>
    </row>
    <row r="83" spans="1:65">
      <c r="D83" s="85"/>
      <c r="E83" s="64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H83" s="64"/>
      <c r="BI83" s="64"/>
      <c r="BJ83" s="64"/>
      <c r="BK83" s="64"/>
      <c r="BL83" s="64"/>
      <c r="BM83" s="64"/>
    </row>
    <row r="84" spans="1:65">
      <c r="A84" s="1" t="s">
        <v>12</v>
      </c>
      <c r="E84" s="66">
        <f t="shared" ref="E84:BC84" si="71">+D84+E82</f>
        <v>0</v>
      </c>
      <c r="F84" s="66">
        <f t="shared" si="71"/>
        <v>-441145.833333333</v>
      </c>
      <c r="G84" s="66">
        <f t="shared" si="71"/>
        <v>-524791.666666667</v>
      </c>
      <c r="H84" s="66">
        <f t="shared" si="71"/>
        <v>-608437.5</v>
      </c>
      <c r="I84" s="66">
        <f t="shared" si="71"/>
        <v>-1148583.33333333</v>
      </c>
      <c r="J84" s="66">
        <f t="shared" si="71"/>
        <v>-1193229.16666667</v>
      </c>
      <c r="K84" s="66">
        <f t="shared" si="71"/>
        <v>-1226875</v>
      </c>
      <c r="L84" s="66">
        <f t="shared" si="71"/>
        <v>-1271520.83333333</v>
      </c>
      <c r="M84" s="66">
        <f t="shared" si="71"/>
        <v>-1536166.66666667</v>
      </c>
      <c r="N84" s="66">
        <f t="shared" si="71"/>
        <v>-1635812.5</v>
      </c>
      <c r="O84" s="66">
        <f t="shared" si="71"/>
        <v>-1735458.33333333</v>
      </c>
      <c r="P84" s="66">
        <f t="shared" si="71"/>
        <v>-1774604.16666667</v>
      </c>
      <c r="Q84" s="66">
        <f t="shared" si="71"/>
        <v>-1819250</v>
      </c>
      <c r="R84" s="66">
        <f t="shared" si="71"/>
        <v>-2081052.69957828</v>
      </c>
      <c r="S84" s="66">
        <f t="shared" si="71"/>
        <v>-2384771.01299281</v>
      </c>
      <c r="T84" s="66">
        <f t="shared" si="71"/>
        <v>-3396304.17656304</v>
      </c>
      <c r="U84" s="66">
        <f t="shared" si="71"/>
        <v>-4374619.85283283</v>
      </c>
      <c r="V84" s="66">
        <f t="shared" si="71"/>
        <v>-5352935.52910261</v>
      </c>
      <c r="W84" s="66">
        <f t="shared" si="71"/>
        <v>-6331251.2053724</v>
      </c>
      <c r="X84" s="66">
        <f t="shared" si="71"/>
        <v>-7351482.48616051</v>
      </c>
      <c r="Y84" s="66">
        <f t="shared" si="71"/>
        <v>-8109098.71580183</v>
      </c>
      <c r="Z84" s="66">
        <f t="shared" si="71"/>
        <v>-8866714.94544315</v>
      </c>
      <c r="AA84" s="66">
        <f t="shared" si="71"/>
        <v>-9678996.28619557</v>
      </c>
      <c r="AB84" s="66">
        <f t="shared" si="71"/>
        <v>-10491277.626948</v>
      </c>
      <c r="AC84" s="66">
        <f t="shared" si="71"/>
        <v>-11303558.9677004</v>
      </c>
      <c r="AD84" s="66">
        <f t="shared" si="71"/>
        <v>3178495.20567394</v>
      </c>
      <c r="AE84" s="66">
        <f t="shared" si="71"/>
        <v>3914811.95243846</v>
      </c>
      <c r="AF84" s="66">
        <f t="shared" si="71"/>
        <v>4651365.44162722</v>
      </c>
      <c r="AG84" s="66">
        <f t="shared" si="71"/>
        <v>5388155.67324023</v>
      </c>
      <c r="AH84" s="66">
        <f t="shared" si="71"/>
        <v>6125182.64727747</v>
      </c>
      <c r="AI84" s="66">
        <f t="shared" si="71"/>
        <v>6862446.36373896</v>
      </c>
      <c r="AJ84" s="66">
        <f t="shared" si="71"/>
        <v>7599946.8226247</v>
      </c>
      <c r="AK84" s="66">
        <f t="shared" si="71"/>
        <v>8337684.02393467</v>
      </c>
      <c r="AL84" s="66">
        <f t="shared" si="71"/>
        <v>9075657.96766889</v>
      </c>
      <c r="AM84" s="66">
        <f t="shared" si="71"/>
        <v>9813868.65382735</v>
      </c>
      <c r="AN84" s="66">
        <f t="shared" si="71"/>
        <v>10552316.08241</v>
      </c>
      <c r="AO84" s="66">
        <f t="shared" si="71"/>
        <v>11291000.253417</v>
      </c>
      <c r="AP84" s="66">
        <f t="shared" si="71"/>
        <v>12049769.7719799</v>
      </c>
      <c r="AQ84" s="66">
        <f t="shared" si="71"/>
        <v>12808776.0329671</v>
      </c>
      <c r="AR84" s="66">
        <f t="shared" si="71"/>
        <v>13568019.0363784</v>
      </c>
      <c r="AS84" s="66">
        <f t="shared" si="71"/>
        <v>14327498.7822141</v>
      </c>
      <c r="AT84" s="66">
        <f t="shared" si="71"/>
        <v>15087215.270474</v>
      </c>
      <c r="AU84" s="66">
        <f t="shared" si="71"/>
        <v>15847168.5011581</v>
      </c>
      <c r="AV84" s="66">
        <f t="shared" si="71"/>
        <v>16607358.4742664</v>
      </c>
      <c r="AW84" s="66">
        <f t="shared" si="71"/>
        <v>17367785.189799</v>
      </c>
      <c r="AX84" s="66">
        <f t="shared" si="71"/>
        <v>18128448.6477559</v>
      </c>
      <c r="AY84" s="66">
        <f t="shared" si="71"/>
        <v>18889348.848137</v>
      </c>
      <c r="AZ84" s="66">
        <f t="shared" si="71"/>
        <v>19650485.7909423</v>
      </c>
      <c r="BA84" s="66">
        <f t="shared" si="71"/>
        <v>20411859.4761719</v>
      </c>
      <c r="BB84" s="66">
        <f t="shared" si="71"/>
        <v>21181665.1003677</v>
      </c>
      <c r="BC84" s="66">
        <f t="shared" si="71"/>
        <v>21951707.4669877</v>
      </c>
      <c r="BD84" s="66"/>
      <c r="BH84" s="64"/>
      <c r="BI84" s="64"/>
      <c r="BJ84" s="64"/>
      <c r="BK84" s="64"/>
      <c r="BL84" s="64"/>
      <c r="BM84" s="64"/>
    </row>
    <row r="85" spans="1:65"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H85" s="64"/>
      <c r="BI85" s="64"/>
      <c r="BJ85" s="64"/>
      <c r="BK85" s="64"/>
      <c r="BL85" s="64"/>
      <c r="BM85" s="64"/>
    </row>
    <row r="86" spans="1:65" ht="13.5" thickBot="1">
      <c r="C86" s="374" t="s">
        <v>331</v>
      </c>
      <c r="D86" s="374"/>
      <c r="E86" s="375" t="s">
        <v>332</v>
      </c>
      <c r="F86" s="376" t="s">
        <v>333</v>
      </c>
      <c r="G86" s="376" t="s">
        <v>334</v>
      </c>
      <c r="H86" s="376" t="s">
        <v>335</v>
      </c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H86" s="64"/>
      <c r="BI86" s="64"/>
      <c r="BJ86" s="64"/>
      <c r="BK86" s="64"/>
      <c r="BL86" s="64"/>
      <c r="BM86" s="64"/>
    </row>
    <row r="87" spans="1:65">
      <c r="A87" s="352" t="s">
        <v>303</v>
      </c>
      <c r="B87" s="353">
        <f>NPV(B88/12,E82:BC82)</f>
        <v>10838159.7183327</v>
      </c>
      <c r="C87" s="64">
        <f>+B87/SUMMARY!$K$9</f>
        <v>265602.11043309</v>
      </c>
      <c r="D87" s="64"/>
      <c r="E87" s="64">
        <f>+B87/SUMMARY!$K$11</f>
        <v>642223.25896733</v>
      </c>
      <c r="F87" s="377">
        <f>+B87/SUMMARY!$L$9</f>
        <v>6.09738545530509</v>
      </c>
      <c r="G87" s="377">
        <f>+B87/SUMMARY!$L$11</f>
        <v>14.743417331665</v>
      </c>
      <c r="H87" s="66">
        <f>+B87/SUMMARY!$G$9</f>
        <v>123160.905890144</v>
      </c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H87" s="64"/>
      <c r="BI87" s="64"/>
      <c r="BJ87" s="64"/>
      <c r="BK87" s="64"/>
      <c r="BL87" s="64"/>
      <c r="BM87" s="64"/>
    </row>
    <row r="88" spans="1:65" ht="13.5" thickBot="1">
      <c r="A88" s="354" t="s">
        <v>300</v>
      </c>
      <c r="B88" s="355">
        <v>0.2</v>
      </c>
      <c r="E88" s="64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H88" s="64"/>
      <c r="BI88" s="64"/>
      <c r="BJ88" s="64"/>
      <c r="BK88" s="64"/>
      <c r="BL88" s="64"/>
      <c r="BM88" s="64"/>
    </row>
    <row r="89" spans="1:65" ht="13.5" thickBot="1">
      <c r="E89" s="64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H89" s="64"/>
      <c r="BI89" s="64"/>
      <c r="BJ89" s="64"/>
      <c r="BK89" s="64"/>
      <c r="BL89" s="64"/>
      <c r="BM89" s="64"/>
    </row>
    <row r="90" spans="1:65">
      <c r="A90" s="352" t="s">
        <v>304</v>
      </c>
      <c r="B90" s="353">
        <f>NPV(B91/12,R90:BC90)</f>
        <v>15441344.2411793</v>
      </c>
      <c r="C90" s="64">
        <f>+B90/SUMMARY!$K$9</f>
        <v>378408.671302733</v>
      </c>
      <c r="D90" s="64"/>
      <c r="E90" s="64">
        <f>+B90/SUMMARY!$K$11</f>
        <v>914988.400164691</v>
      </c>
      <c r="F90" s="377">
        <f>+B90/SUMMARY!$L$9</f>
        <v>8.687067752588</v>
      </c>
      <c r="G90" s="377">
        <f>+B90/SUMMARY!$L$11</f>
        <v>21.0052433462969</v>
      </c>
      <c r="H90" s="66">
        <f>+B90/SUMMARY!$G$9</f>
        <v>175469.820922492</v>
      </c>
      <c r="I90" s="64"/>
      <c r="J90" s="66"/>
      <c r="K90" s="66"/>
      <c r="L90" s="66"/>
      <c r="M90" s="66"/>
      <c r="N90" s="66"/>
      <c r="O90" s="66"/>
      <c r="Q90" s="66"/>
      <c r="R90" s="66">
        <f>R84</f>
        <v>-2081052.69957828</v>
      </c>
      <c r="S90" s="66">
        <f t="shared" ref="S90:AC90" si="72">S82</f>
        <v>-303718.313414528</v>
      </c>
      <c r="T90" s="66">
        <f t="shared" si="72"/>
        <v>-1011533.16357024</v>
      </c>
      <c r="U90" s="66">
        <f t="shared" si="72"/>
        <v>-978315.676269784</v>
      </c>
      <c r="V90" s="66">
        <f t="shared" si="72"/>
        <v>-978315.676269784</v>
      </c>
      <c r="W90" s="66">
        <f t="shared" si="72"/>
        <v>-978315.676269784</v>
      </c>
      <c r="X90" s="66">
        <f t="shared" si="72"/>
        <v>-1020231.28078812</v>
      </c>
      <c r="Y90" s="66">
        <f t="shared" si="72"/>
        <v>-757616.229641317</v>
      </c>
      <c r="Z90" s="66">
        <f t="shared" si="72"/>
        <v>-757616.229641317</v>
      </c>
      <c r="AA90" s="66">
        <f t="shared" si="72"/>
        <v>-812281.340752429</v>
      </c>
      <c r="AB90" s="66">
        <f t="shared" si="72"/>
        <v>-812281.340752429</v>
      </c>
      <c r="AC90" s="66">
        <f t="shared" si="72"/>
        <v>-812281.340752429</v>
      </c>
      <c r="AD90" s="66">
        <f t="shared" ref="AD90:BC90" si="73">AD82</f>
        <v>14482054.1733744</v>
      </c>
      <c r="AE90" s="66">
        <f t="shared" si="73"/>
        <v>736316.74676452</v>
      </c>
      <c r="AF90" s="66">
        <f t="shared" si="73"/>
        <v>736553.489188763</v>
      </c>
      <c r="AG90" s="66">
        <f t="shared" si="73"/>
        <v>736790.231613005</v>
      </c>
      <c r="AH90" s="66">
        <f t="shared" si="73"/>
        <v>737026.974037248</v>
      </c>
      <c r="AI90" s="66">
        <f t="shared" si="73"/>
        <v>737263.71646149</v>
      </c>
      <c r="AJ90" s="66">
        <f t="shared" si="73"/>
        <v>737500.458885732</v>
      </c>
      <c r="AK90" s="66">
        <f t="shared" si="73"/>
        <v>737737.201309975</v>
      </c>
      <c r="AL90" s="66">
        <f t="shared" si="73"/>
        <v>737973.943734217</v>
      </c>
      <c r="AM90" s="66">
        <f t="shared" si="73"/>
        <v>738210.68615846</v>
      </c>
      <c r="AN90" s="66">
        <f t="shared" si="73"/>
        <v>738447.428582702</v>
      </c>
      <c r="AO90" s="66">
        <f t="shared" si="73"/>
        <v>738684.171006945</v>
      </c>
      <c r="AP90" s="66">
        <f t="shared" si="73"/>
        <v>758769.518562908</v>
      </c>
      <c r="AQ90" s="66">
        <f t="shared" si="73"/>
        <v>759006.26098715</v>
      </c>
      <c r="AR90" s="66">
        <f t="shared" si="73"/>
        <v>759243.003411393</v>
      </c>
      <c r="AS90" s="66">
        <f t="shared" si="73"/>
        <v>759479.745835635</v>
      </c>
      <c r="AT90" s="66">
        <f t="shared" si="73"/>
        <v>759716.488259877</v>
      </c>
      <c r="AU90" s="66">
        <f t="shared" si="73"/>
        <v>759953.23068412</v>
      </c>
      <c r="AV90" s="66">
        <f t="shared" si="73"/>
        <v>760189.973108362</v>
      </c>
      <c r="AW90" s="66">
        <f t="shared" si="73"/>
        <v>760426.715532605</v>
      </c>
      <c r="AX90" s="66">
        <f t="shared" si="73"/>
        <v>760663.457956847</v>
      </c>
      <c r="AY90" s="66">
        <f t="shared" si="73"/>
        <v>760900.20038109</v>
      </c>
      <c r="AZ90" s="66">
        <f t="shared" si="73"/>
        <v>761136.942805332</v>
      </c>
      <c r="BA90" s="66">
        <f t="shared" si="73"/>
        <v>761373.685229574</v>
      </c>
      <c r="BB90" s="66">
        <f t="shared" si="73"/>
        <v>769805.624195809</v>
      </c>
      <c r="BC90" s="66">
        <f t="shared" si="73"/>
        <v>770042.366620051</v>
      </c>
      <c r="BD90" s="66"/>
      <c r="BH90" s="64"/>
      <c r="BI90" s="64"/>
      <c r="BJ90" s="64"/>
      <c r="BK90" s="64"/>
      <c r="BL90" s="64"/>
      <c r="BM90" s="64"/>
    </row>
    <row r="91" spans="1:65" ht="13.5" thickBot="1">
      <c r="A91" s="354" t="s">
        <v>300</v>
      </c>
      <c r="B91" s="355">
        <v>0.15</v>
      </c>
      <c r="E91" s="64"/>
      <c r="F91" s="66"/>
      <c r="G91" s="66"/>
      <c r="H91" s="66"/>
      <c r="I91" s="66"/>
      <c r="J91" s="66"/>
      <c r="K91" s="66"/>
      <c r="L91" s="66"/>
      <c r="M91" s="66"/>
      <c r="N91" s="66"/>
      <c r="O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H91" s="64"/>
      <c r="BI91" s="64"/>
      <c r="BJ91" s="64"/>
      <c r="BK91" s="64"/>
      <c r="BL91" s="64"/>
      <c r="BM91" s="64"/>
    </row>
    <row r="92" spans="1:65">
      <c r="AP92" s="85"/>
      <c r="BM92" s="67">
        <f>BM80-BD80</f>
        <v>0</v>
      </c>
    </row>
    <row r="93" spans="1:65" ht="13.5" thickBot="1">
      <c r="A93" s="57"/>
      <c r="B93" s="57"/>
      <c r="C93" s="57"/>
      <c r="D93" s="57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</row>
    <row r="94" spans="1:65">
      <c r="A94" s="55"/>
      <c r="B94" s="59"/>
      <c r="C94" s="55"/>
      <c r="D94" s="55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</row>
    <row r="95" spans="1:65">
      <c r="A95" s="61"/>
      <c r="B95" s="58"/>
      <c r="C95" s="55"/>
      <c r="D95" s="55"/>
      <c r="F95"/>
      <c r="G95" s="470" t="s">
        <v>341</v>
      </c>
      <c r="H95" s="470"/>
      <c r="I95" s="470"/>
      <c r="J95" s="470"/>
      <c r="K95" s="470"/>
      <c r="M95"/>
      <c r="N95" s="470" t="s">
        <v>342</v>
      </c>
      <c r="O95" s="470"/>
      <c r="P95" s="470"/>
      <c r="Q95" s="470"/>
      <c r="R95" s="470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</row>
    <row r="96" spans="1:65">
      <c r="A96" s="393"/>
      <c r="B96" s="394"/>
      <c r="C96" s="55"/>
      <c r="D96" s="55"/>
      <c r="F96"/>
      <c r="G96" s="471" t="s">
        <v>343</v>
      </c>
      <c r="H96" s="471"/>
      <c r="I96" s="471"/>
      <c r="J96" s="471"/>
      <c r="K96" s="471"/>
      <c r="M96"/>
      <c r="N96" s="471" t="s">
        <v>343</v>
      </c>
      <c r="O96" s="471"/>
      <c r="P96" s="471"/>
      <c r="Q96" s="471"/>
      <c r="R96" s="471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</row>
    <row r="97" spans="1:55">
      <c r="A97" s="61"/>
      <c r="B97" s="59"/>
      <c r="C97" s="55"/>
      <c r="D97" s="55"/>
      <c r="F97" s="383">
        <f>B87</f>
        <v>10838159.7183327</v>
      </c>
      <c r="G97" s="384">
        <f>$I$97*(1-0.2)</f>
        <v>320000</v>
      </c>
      <c r="H97" s="384">
        <f>$I$97*(1-0.1)</f>
        <v>360000</v>
      </c>
      <c r="I97" s="385">
        <v>400000</v>
      </c>
      <c r="J97" s="384">
        <f>$I$97*(1+0.1)</f>
        <v>440000</v>
      </c>
      <c r="K97" s="384">
        <f>$I$97*(1+0.2)</f>
        <v>480000</v>
      </c>
      <c r="M97" s="383">
        <f>B90</f>
        <v>15441344.2411793</v>
      </c>
      <c r="N97" s="384">
        <f>$I$97*(1-0.2)</f>
        <v>320000</v>
      </c>
      <c r="O97" s="384">
        <f>$I$97*(1-0.1)</f>
        <v>360000</v>
      </c>
      <c r="P97" s="385">
        <v>400000</v>
      </c>
      <c r="Q97" s="384">
        <f>$I$97*(1+0.1)</f>
        <v>440000</v>
      </c>
      <c r="R97" s="384">
        <f>$I$97*(1+0.2)</f>
        <v>480000</v>
      </c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</row>
    <row r="98" spans="1:55">
      <c r="A98" s="61"/>
      <c r="B98" s="59"/>
      <c r="C98" s="55"/>
      <c r="D98" s="55"/>
      <c r="E98" s="472" t="s">
        <v>300</v>
      </c>
      <c r="F98" s="386">
        <f>F99+0.02</f>
        <v>0.24</v>
      </c>
      <c r="G98" s="387">
        <f t="dataTable" ref="G98:K102" dt2D="1" dtr="1" r1="F11" r2="B88" ca="1"/>
        <v>5744010.11168976</v>
      </c>
      <c r="H98" s="388">
        <v>7491703.93520858</v>
      </c>
      <c r="I98" s="388">
        <v>9239397.7587274</v>
      </c>
      <c r="J98" s="388">
        <v>10987091.5822462</v>
      </c>
      <c r="K98" s="388">
        <v>12734785.405765</v>
      </c>
      <c r="L98" s="472" t="s">
        <v>300</v>
      </c>
      <c r="M98" s="386">
        <f>M99+0.02</f>
        <v>0.19</v>
      </c>
      <c r="N98" s="387">
        <f t="dataTable" ref="N98:R102" dt2D="1" dtr="1" r1="F11" r2="B91"/>
        <v>8967389.81291972</v>
      </c>
      <c r="O98" s="388">
        <v>11413190.7207401</v>
      </c>
      <c r="P98" s="388">
        <v>13858991.6285604</v>
      </c>
      <c r="Q98" s="388">
        <v>16304792.5363807</v>
      </c>
      <c r="R98" s="388">
        <v>18750593.444201</v>
      </c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</row>
    <row r="99" spans="1:55">
      <c r="E99" s="472"/>
      <c r="F99" s="386">
        <f>F100+0.02</f>
        <v>0.22</v>
      </c>
      <c r="G99" s="389">
        <v>6262074.403259</v>
      </c>
      <c r="H99" s="388">
        <v>8104066.66461622</v>
      </c>
      <c r="I99" s="388">
        <v>9946058.92597344</v>
      </c>
      <c r="J99" s="388">
        <v>11788051.1873307</v>
      </c>
      <c r="K99" s="388">
        <v>13630043.4486879</v>
      </c>
      <c r="L99" s="472"/>
      <c r="M99" s="386">
        <f>M100+0.02</f>
        <v>0.17</v>
      </c>
      <c r="N99" s="389">
        <v>9492836.16959655</v>
      </c>
      <c r="O99" s="388">
        <v>12017780.5602813</v>
      </c>
      <c r="P99" s="388">
        <v>14542724.9509661</v>
      </c>
      <c r="Q99" s="388">
        <v>17067669.3416509</v>
      </c>
      <c r="R99" s="388">
        <v>19592613.7323357</v>
      </c>
    </row>
    <row r="100" spans="1:55">
      <c r="E100" s="472"/>
      <c r="F100" s="390">
        <v>0.2</v>
      </c>
      <c r="G100" s="389">
        <v>6816497.14921886</v>
      </c>
      <c r="H100" s="388">
        <v>8758369.88492264</v>
      </c>
      <c r="I100" s="388">
        <v>10700242.6206264</v>
      </c>
      <c r="J100" s="388">
        <v>12642115.3563302</v>
      </c>
      <c r="K100" s="388">
        <v>14583988.092034</v>
      </c>
      <c r="L100" s="472"/>
      <c r="M100" s="390">
        <v>0.15</v>
      </c>
      <c r="N100" s="389">
        <v>10041687.0310583</v>
      </c>
      <c r="O100" s="388">
        <v>12648928.9212677</v>
      </c>
      <c r="P100" s="388">
        <v>15256170.811477</v>
      </c>
      <c r="Q100" s="388">
        <v>17863412.7016863</v>
      </c>
      <c r="R100" s="388">
        <v>20470654.5918956</v>
      </c>
    </row>
    <row r="101" spans="1:55">
      <c r="E101" s="472"/>
      <c r="F101" s="386">
        <f>F100-0.02</f>
        <v>0.18</v>
      </c>
      <c r="G101" s="389">
        <v>7409844.11116361</v>
      </c>
      <c r="H101" s="388">
        <v>9457540.88908337</v>
      </c>
      <c r="I101" s="388">
        <v>11505237.6670031</v>
      </c>
      <c r="J101" s="388">
        <v>13552934.4449229</v>
      </c>
      <c r="K101" s="388">
        <v>15600631.2228426</v>
      </c>
      <c r="L101" s="472"/>
      <c r="M101" s="386">
        <f>M100-0.02</f>
        <v>0.13</v>
      </c>
      <c r="N101" s="389">
        <v>10615094.5007858</v>
      </c>
      <c r="O101" s="388">
        <v>13307937.2470543</v>
      </c>
      <c r="P101" s="388">
        <v>16000779.9933228</v>
      </c>
      <c r="Q101" s="388">
        <v>18693622.7395912</v>
      </c>
      <c r="R101" s="388">
        <v>21386465.4858597</v>
      </c>
    </row>
    <row r="102" spans="1:55">
      <c r="E102" s="472"/>
      <c r="F102" s="386">
        <f>F101-0.02</f>
        <v>0.16</v>
      </c>
      <c r="G102" s="389">
        <v>8044870.28250849</v>
      </c>
      <c r="H102" s="388">
        <v>10204721.628982</v>
      </c>
      <c r="I102" s="388">
        <v>12364572.9754555</v>
      </c>
      <c r="J102" s="388">
        <v>14524424.3219291</v>
      </c>
      <c r="K102" s="388">
        <v>16684275.6684026</v>
      </c>
      <c r="L102" s="472"/>
      <c r="M102" s="386">
        <f>M101-0.02</f>
        <v>0.11</v>
      </c>
      <c r="N102" s="389">
        <v>11214273.6258795</v>
      </c>
      <c r="O102" s="388">
        <v>13996177.9576672</v>
      </c>
      <c r="P102" s="388">
        <v>16778082.289455</v>
      </c>
      <c r="Q102" s="388">
        <v>19559986.6212427</v>
      </c>
      <c r="R102" s="388">
        <v>22341890.9530305</v>
      </c>
    </row>
    <row r="107" spans="1:55">
      <c r="B107" s="347"/>
    </row>
  </sheetData>
  <mergeCells count="6">
    <mergeCell ref="G95:K95"/>
    <mergeCell ref="N95:R95"/>
    <mergeCell ref="G96:K96"/>
    <mergeCell ref="N96:R96"/>
    <mergeCell ref="E98:E102"/>
    <mergeCell ref="L98:L102"/>
  </mergeCells>
  <pageMargins left="0.12" right="0.2" top="0.32" bottom="0.25" header="0.25" footer="0.25"/>
  <pageSetup scale="40" fitToWidth="5" orientation="landscape" r:id="rId1"/>
  <headerFooter alignWithMargins="0"/>
  <colBreaks count="1" manualBreakCount="1">
    <brk id="56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24D8-92D9-4D5A-B3C2-8DA0D74B72AF}">
  <sheetPr>
    <pageSetUpPr fitToPage="1"/>
  </sheetPr>
  <dimension ref="A1:P13"/>
  <sheetViews>
    <sheetView zoomScaleNormal="100" workbookViewId="0">
      <selection activeCell="P12" sqref="A1:P12"/>
    </sheetView>
  </sheetViews>
  <sheetFormatPr defaultRowHeight="12.5"/>
  <cols>
    <col min="1" max="1" width="16.26953125" bestFit="1" customWidth="1"/>
    <col min="7" max="7" width="10.1796875" bestFit="1" customWidth="1"/>
    <col min="8" max="8" width="12.54296875" customWidth="1"/>
    <col min="10" max="11" width="10.26953125" customWidth="1"/>
    <col min="12" max="12" width="11.1796875" customWidth="1"/>
    <col min="13" max="13" width="11.26953125" customWidth="1"/>
    <col min="14" max="14" width="11.36328125" customWidth="1"/>
    <col min="15" max="15" width="10.7265625" customWidth="1"/>
    <col min="16" max="16" width="10.1796875" bestFit="1" customWidth="1"/>
  </cols>
  <sheetData>
    <row r="1" spans="1:16" ht="39">
      <c r="A1" s="443" t="s">
        <v>168</v>
      </c>
      <c r="B1" s="442" t="s">
        <v>169</v>
      </c>
      <c r="C1" s="473" t="s">
        <v>171</v>
      </c>
      <c r="D1" s="473"/>
      <c r="E1" s="442" t="s">
        <v>170</v>
      </c>
      <c r="F1" s="441" t="s">
        <v>372</v>
      </c>
      <c r="G1" s="441" t="s">
        <v>386</v>
      </c>
      <c r="H1" s="441" t="s">
        <v>381</v>
      </c>
      <c r="I1" s="441" t="s">
        <v>319</v>
      </c>
      <c r="J1" s="441" t="s">
        <v>370</v>
      </c>
      <c r="K1" s="441" t="s">
        <v>371</v>
      </c>
      <c r="L1" s="441" t="s">
        <v>373</v>
      </c>
      <c r="M1" s="441" t="s">
        <v>387</v>
      </c>
      <c r="N1" s="441" t="s">
        <v>382</v>
      </c>
      <c r="O1" s="441" t="s">
        <v>383</v>
      </c>
      <c r="P1" s="440" t="s">
        <v>388</v>
      </c>
    </row>
    <row r="2" spans="1:16" ht="13">
      <c r="A2" s="439" t="s">
        <v>350</v>
      </c>
      <c r="B2" s="412">
        <v>8</v>
      </c>
      <c r="C2" s="115">
        <v>40</v>
      </c>
      <c r="D2" s="406">
        <v>70</v>
      </c>
      <c r="E2" s="459">
        <v>2800</v>
      </c>
      <c r="F2" s="448">
        <v>500000</v>
      </c>
      <c r="G2" s="156">
        <f t="shared" ref="G2:G11" si="0">F2*B2</f>
        <v>4000000</v>
      </c>
      <c r="H2" s="457">
        <f t="shared" ref="H2:H11" si="1">F2/N2</f>
        <v>0.337837837837838</v>
      </c>
      <c r="I2" s="461">
        <v>2800</v>
      </c>
      <c r="J2" s="461" t="s">
        <v>375</v>
      </c>
      <c r="K2" s="451">
        <v>350</v>
      </c>
      <c r="L2" s="427">
        <f t="shared" ref="L2:L11" si="2">K2*I2</f>
        <v>980000</v>
      </c>
      <c r="M2" s="426">
        <f t="shared" ref="M2:M11" si="3">L2*B2</f>
        <v>7840000</v>
      </c>
      <c r="N2" s="425">
        <f t="shared" ref="N2:N11" si="4">F2+L2</f>
        <v>1480000</v>
      </c>
      <c r="O2" s="446">
        <f t="shared" ref="O2:O11" si="5">N2/I2</f>
        <v>528.571428571429</v>
      </c>
      <c r="P2" s="430">
        <f t="shared" ref="P2:P11" si="6">N2*B2</f>
        <v>11840000</v>
      </c>
    </row>
    <row r="3" spans="1:16" ht="13">
      <c r="A3" s="439" t="s">
        <v>351</v>
      </c>
      <c r="B3" s="412">
        <v>6</v>
      </c>
      <c r="C3" s="115">
        <v>28</v>
      </c>
      <c r="D3" s="406">
        <v>40</v>
      </c>
      <c r="E3" s="459">
        <v>1120</v>
      </c>
      <c r="F3" s="448">
        <v>300000</v>
      </c>
      <c r="G3" s="156">
        <f t="shared" si="0"/>
        <v>1800000</v>
      </c>
      <c r="H3" s="457">
        <f t="shared" si="1"/>
        <v>0.363636363636364</v>
      </c>
      <c r="I3" s="461">
        <v>1500</v>
      </c>
      <c r="J3" s="461" t="s">
        <v>376</v>
      </c>
      <c r="K3" s="451">
        <v>350</v>
      </c>
      <c r="L3" s="427">
        <f t="shared" si="2"/>
        <v>525000</v>
      </c>
      <c r="M3" s="427">
        <f t="shared" si="3"/>
        <v>3150000</v>
      </c>
      <c r="N3" s="425">
        <f t="shared" si="4"/>
        <v>825000</v>
      </c>
      <c r="O3" s="446">
        <f t="shared" si="5"/>
        <v>550</v>
      </c>
      <c r="P3" s="430">
        <f t="shared" si="6"/>
        <v>4950000</v>
      </c>
    </row>
    <row r="4" spans="1:16" ht="13">
      <c r="A4" s="439" t="s">
        <v>352</v>
      </c>
      <c r="B4" s="412">
        <v>5</v>
      </c>
      <c r="C4" s="115">
        <v>60</v>
      </c>
      <c r="D4" s="406">
        <v>90</v>
      </c>
      <c r="E4" s="459">
        <v>5400</v>
      </c>
      <c r="F4" s="448">
        <v>600000</v>
      </c>
      <c r="G4" s="156">
        <f t="shared" si="0"/>
        <v>3000000</v>
      </c>
      <c r="H4" s="457">
        <f t="shared" si="1"/>
        <v>0.356083086053413</v>
      </c>
      <c r="I4" s="461">
        <v>3100</v>
      </c>
      <c r="J4" s="461" t="s">
        <v>374</v>
      </c>
      <c r="K4" s="451">
        <v>350</v>
      </c>
      <c r="L4" s="427">
        <f t="shared" si="2"/>
        <v>1085000</v>
      </c>
      <c r="M4" s="427">
        <f t="shared" si="3"/>
        <v>5425000</v>
      </c>
      <c r="N4" s="425">
        <f t="shared" si="4"/>
        <v>1685000</v>
      </c>
      <c r="O4" s="446">
        <f t="shared" si="5"/>
        <v>543.548387096774</v>
      </c>
      <c r="P4" s="430">
        <f t="shared" si="6"/>
        <v>8425000</v>
      </c>
    </row>
    <row r="5" spans="1:16" ht="13">
      <c r="A5" s="439" t="s">
        <v>384</v>
      </c>
      <c r="B5" s="412">
        <v>12</v>
      </c>
      <c r="C5" s="403" t="s">
        <v>362</v>
      </c>
      <c r="D5" s="406" t="s">
        <v>362</v>
      </c>
      <c r="E5" s="458" t="s">
        <v>362</v>
      </c>
      <c r="F5" s="448">
        <v>225000</v>
      </c>
      <c r="G5" s="156">
        <f t="shared" si="0"/>
        <v>2700000</v>
      </c>
      <c r="H5" s="457">
        <f t="shared" si="1"/>
        <v>0.416666666666667</v>
      </c>
      <c r="I5" s="461">
        <v>900</v>
      </c>
      <c r="J5" s="461" t="s">
        <v>377</v>
      </c>
      <c r="K5" s="451">
        <v>350</v>
      </c>
      <c r="L5" s="427">
        <f t="shared" si="2"/>
        <v>315000</v>
      </c>
      <c r="M5" s="427">
        <f t="shared" si="3"/>
        <v>3780000</v>
      </c>
      <c r="N5" s="425">
        <f t="shared" si="4"/>
        <v>540000</v>
      </c>
      <c r="O5" s="446">
        <f t="shared" si="5"/>
        <v>600</v>
      </c>
      <c r="P5" s="430">
        <f t="shared" si="6"/>
        <v>6480000</v>
      </c>
    </row>
    <row r="6" spans="1:16" ht="13">
      <c r="A6" s="439" t="s">
        <v>363</v>
      </c>
      <c r="B6" s="412">
        <v>4</v>
      </c>
      <c r="C6" s="115">
        <v>36</v>
      </c>
      <c r="D6" s="406">
        <v>36</v>
      </c>
      <c r="E6" s="459">
        <v>1296</v>
      </c>
      <c r="F6" s="448">
        <v>250000</v>
      </c>
      <c r="G6" s="156">
        <f t="shared" si="0"/>
        <v>1000000</v>
      </c>
      <c r="H6" s="457">
        <f t="shared" si="1"/>
        <v>0.393700787401575</v>
      </c>
      <c r="I6" s="461">
        <v>1100</v>
      </c>
      <c r="J6" s="461" t="s">
        <v>366</v>
      </c>
      <c r="K6" s="451">
        <v>350</v>
      </c>
      <c r="L6" s="427">
        <f t="shared" si="2"/>
        <v>385000</v>
      </c>
      <c r="M6" s="427">
        <f t="shared" si="3"/>
        <v>1540000</v>
      </c>
      <c r="N6" s="425">
        <f t="shared" si="4"/>
        <v>635000</v>
      </c>
      <c r="O6" s="446">
        <f t="shared" si="5"/>
        <v>577.272727272727</v>
      </c>
      <c r="P6" s="430">
        <f t="shared" si="6"/>
        <v>2540000</v>
      </c>
    </row>
    <row r="7" spans="1:16" ht="13">
      <c r="A7" s="439" t="s">
        <v>355</v>
      </c>
      <c r="B7" s="412">
        <v>9</v>
      </c>
      <c r="C7" s="115">
        <v>28</v>
      </c>
      <c r="D7" s="406">
        <v>40</v>
      </c>
      <c r="E7" s="459">
        <v>1120</v>
      </c>
      <c r="F7" s="448">
        <v>300000</v>
      </c>
      <c r="G7" s="156">
        <f t="shared" si="0"/>
        <v>2700000</v>
      </c>
      <c r="H7" s="457">
        <f t="shared" si="1"/>
        <v>0.348837209302326</v>
      </c>
      <c r="I7" s="461">
        <v>1600</v>
      </c>
      <c r="J7" s="461" t="s">
        <v>367</v>
      </c>
      <c r="K7" s="451">
        <v>350</v>
      </c>
      <c r="L7" s="427">
        <f t="shared" si="2"/>
        <v>560000</v>
      </c>
      <c r="M7" s="427">
        <f t="shared" si="3"/>
        <v>5040000</v>
      </c>
      <c r="N7" s="425">
        <f t="shared" si="4"/>
        <v>860000</v>
      </c>
      <c r="O7" s="446">
        <f t="shared" si="5"/>
        <v>537.5</v>
      </c>
      <c r="P7" s="430">
        <f t="shared" si="6"/>
        <v>7740000</v>
      </c>
    </row>
    <row r="8" spans="1:16" ht="13">
      <c r="A8" s="439" t="s">
        <v>368</v>
      </c>
      <c r="B8" s="412">
        <v>8</v>
      </c>
      <c r="C8" s="115">
        <v>46</v>
      </c>
      <c r="D8" s="406">
        <v>64</v>
      </c>
      <c r="E8" s="459">
        <v>2944</v>
      </c>
      <c r="F8" s="448">
        <v>450000</v>
      </c>
      <c r="G8" s="156">
        <f t="shared" si="0"/>
        <v>3600000</v>
      </c>
      <c r="H8" s="457">
        <f t="shared" si="1"/>
        <v>0.353634577603143</v>
      </c>
      <c r="I8" s="461">
        <v>2350</v>
      </c>
      <c r="J8" s="461" t="s">
        <v>378</v>
      </c>
      <c r="K8" s="451">
        <v>350</v>
      </c>
      <c r="L8" s="427">
        <f t="shared" si="2"/>
        <v>822500</v>
      </c>
      <c r="M8" s="427">
        <f t="shared" si="3"/>
        <v>6580000</v>
      </c>
      <c r="N8" s="425">
        <f t="shared" si="4"/>
        <v>1272500</v>
      </c>
      <c r="O8" s="446">
        <f t="shared" si="5"/>
        <v>541.489361702128</v>
      </c>
      <c r="P8" s="430">
        <f t="shared" si="6"/>
        <v>10180000</v>
      </c>
    </row>
    <row r="9" spans="1:16" ht="13">
      <c r="A9" s="439" t="s">
        <v>357</v>
      </c>
      <c r="B9" s="412">
        <v>9</v>
      </c>
      <c r="C9" s="115">
        <v>55</v>
      </c>
      <c r="D9" s="406">
        <v>90</v>
      </c>
      <c r="E9" s="459">
        <v>4950</v>
      </c>
      <c r="F9" s="448">
        <v>400000</v>
      </c>
      <c r="G9" s="156">
        <f t="shared" si="0"/>
        <v>3600000</v>
      </c>
      <c r="H9" s="457">
        <f t="shared" si="1"/>
        <v>0.297397769516729</v>
      </c>
      <c r="I9" s="461">
        <v>2700</v>
      </c>
      <c r="J9" s="461" t="s">
        <v>375</v>
      </c>
      <c r="K9" s="451">
        <v>350</v>
      </c>
      <c r="L9" s="427">
        <f t="shared" si="2"/>
        <v>945000</v>
      </c>
      <c r="M9" s="427">
        <f t="shared" si="3"/>
        <v>8505000</v>
      </c>
      <c r="N9" s="425">
        <f t="shared" si="4"/>
        <v>1345000</v>
      </c>
      <c r="O9" s="446">
        <f t="shared" si="5"/>
        <v>498.148148148148</v>
      </c>
      <c r="P9" s="430">
        <f t="shared" si="6"/>
        <v>12105000</v>
      </c>
    </row>
    <row r="10" spans="1:16" ht="13">
      <c r="A10" s="439" t="s">
        <v>369</v>
      </c>
      <c r="B10" s="412">
        <v>24</v>
      </c>
      <c r="C10" s="115">
        <v>46</v>
      </c>
      <c r="D10" s="406">
        <v>64</v>
      </c>
      <c r="E10" s="459">
        <v>2944</v>
      </c>
      <c r="F10" s="448">
        <v>450000</v>
      </c>
      <c r="G10" s="156">
        <f t="shared" si="0"/>
        <v>10800000</v>
      </c>
      <c r="H10" s="457">
        <f t="shared" si="1"/>
        <v>0.379746835443038</v>
      </c>
      <c r="I10" s="461">
        <v>2100</v>
      </c>
      <c r="J10" s="461" t="s">
        <v>379</v>
      </c>
      <c r="K10" s="451">
        <v>350</v>
      </c>
      <c r="L10" s="427">
        <f t="shared" si="2"/>
        <v>735000</v>
      </c>
      <c r="M10" s="427">
        <f t="shared" si="3"/>
        <v>17640000</v>
      </c>
      <c r="N10" s="425">
        <f t="shared" si="4"/>
        <v>1185000</v>
      </c>
      <c r="O10" s="446">
        <f t="shared" si="5"/>
        <v>564.285714285714</v>
      </c>
      <c r="P10" s="430">
        <f t="shared" si="6"/>
        <v>28440000</v>
      </c>
    </row>
    <row r="11" spans="1:16" ht="13">
      <c r="A11" s="438" t="s">
        <v>358</v>
      </c>
      <c r="B11" s="455">
        <v>3</v>
      </c>
      <c r="C11" s="456">
        <v>90</v>
      </c>
      <c r="D11" s="454">
        <v>100</v>
      </c>
      <c r="E11" s="460">
        <v>9000</v>
      </c>
      <c r="F11" s="447">
        <v>750000</v>
      </c>
      <c r="G11" s="453">
        <f t="shared" si="0"/>
        <v>2250000</v>
      </c>
      <c r="H11" s="452">
        <f t="shared" si="1"/>
        <v>0.373134328358209</v>
      </c>
      <c r="I11" s="462">
        <v>3600</v>
      </c>
      <c r="J11" s="462" t="s">
        <v>380</v>
      </c>
      <c r="K11" s="450">
        <v>350</v>
      </c>
      <c r="L11" s="424">
        <f t="shared" si="2"/>
        <v>1260000</v>
      </c>
      <c r="M11" s="424">
        <f t="shared" si="3"/>
        <v>3780000</v>
      </c>
      <c r="N11" s="423">
        <f t="shared" si="4"/>
        <v>2010000</v>
      </c>
      <c r="O11" s="445">
        <f t="shared" si="5"/>
        <v>558.333333333333</v>
      </c>
      <c r="P11" s="429">
        <f t="shared" si="6"/>
        <v>6030000</v>
      </c>
    </row>
    <row r="12" spans="1:16" ht="13">
      <c r="A12" s="437"/>
      <c r="B12" s="436">
        <v>88</v>
      </c>
      <c r="C12" s="435"/>
      <c r="D12" s="435"/>
      <c r="E12" s="434"/>
      <c r="F12" s="433"/>
      <c r="G12" s="422">
        <f>SUM(G2:G11)</f>
        <v>35450000</v>
      </c>
      <c r="H12" s="433"/>
      <c r="I12" s="433"/>
      <c r="J12" s="433"/>
      <c r="K12" s="433"/>
      <c r="L12" s="422"/>
      <c r="M12" s="422">
        <f>SUM(M2:M11)</f>
        <v>63280000</v>
      </c>
      <c r="N12" s="422"/>
      <c r="O12" s="432"/>
      <c r="P12" s="428">
        <f>SUM(P2:P11)</f>
        <v>98730000</v>
      </c>
    </row>
    <row r="13" spans="1:16">
      <c r="L13" s="449"/>
      <c r="M13" s="449"/>
      <c r="O13" s="444"/>
    </row>
  </sheetData>
  <mergeCells count="1">
    <mergeCell ref="C1:D1"/>
  </mergeCells>
  <pageMargins left="0.7" right="0.7" top="0.75" bottom="0.75" header="0.3" footer="0.3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33"/>
  <sheetViews>
    <sheetView showGridLines="0" zoomScaleNormal="100" zoomScaleSheetLayoutView="75" workbookViewId="0">
      <selection activeCell="P15" sqref="P15"/>
    </sheetView>
  </sheetViews>
  <sheetFormatPr defaultColWidth="9.1796875" defaultRowHeight="13"/>
  <cols>
    <col min="1" max="1" width="11.54296875" style="1" customWidth="1"/>
    <col min="2" max="2" width="11.81640625" style="1" customWidth="1"/>
    <col min="3" max="3" width="17.26953125" style="1" customWidth="1"/>
    <col min="4" max="4" width="6.1796875" style="1" customWidth="1"/>
    <col min="5" max="5" width="27.26953125" style="1" bestFit="1" customWidth="1"/>
    <col min="6" max="6" width="4.453125" style="1" customWidth="1"/>
    <col min="7" max="7" width="2.81640625" style="1" customWidth="1"/>
    <col min="8" max="8" width="10.7265625" style="1" bestFit="1" customWidth="1"/>
    <col min="9" max="9" width="1.7265625" style="1" customWidth="1"/>
    <col min="10" max="10" width="8.54296875" style="1" bestFit="1" customWidth="1"/>
    <col min="11" max="11" width="3.26953125" style="1" customWidth="1"/>
    <col min="12" max="12" width="2.7265625" style="1" customWidth="1"/>
    <col min="13" max="13" width="20.453125" style="1" customWidth="1"/>
    <col min="14" max="14" width="9.81640625" style="1" bestFit="1" customWidth="1"/>
    <col min="15" max="15" width="5.54296875" style="1" bestFit="1" customWidth="1"/>
    <col min="16" max="16" width="5.7265625" style="1" customWidth="1"/>
    <col min="17" max="17" width="8.26953125" style="1" bestFit="1" customWidth="1"/>
    <col min="18" max="18" width="4.81640625" style="1" bestFit="1" customWidth="1"/>
    <col min="19" max="19" width="3" style="1" bestFit="1" customWidth="1"/>
    <col min="20" max="20" width="7.7265625" style="1" bestFit="1" customWidth="1"/>
    <col min="21" max="16384" width="9.1796875" style="1"/>
  </cols>
  <sheetData>
    <row r="1" spans="1:14">
      <c r="A1" s="1" t="s">
        <v>55</v>
      </c>
    </row>
    <row r="2" spans="1:14">
      <c r="E2" s="62"/>
    </row>
    <row r="3" spans="1:14">
      <c r="A3" s="63" t="s">
        <v>0</v>
      </c>
      <c r="B3" s="63" t="s">
        <v>349</v>
      </c>
      <c r="C3" s="63" t="s">
        <v>52</v>
      </c>
      <c r="E3" s="152" t="s">
        <v>130</v>
      </c>
      <c r="F3" s="463"/>
      <c r="G3" s="463"/>
      <c r="H3" s="463"/>
      <c r="I3" s="463"/>
      <c r="J3" s="463"/>
      <c r="K3" s="103"/>
      <c r="M3" s="65"/>
    </row>
    <row r="4" spans="1:14">
      <c r="A4" s="1">
        <v>1</v>
      </c>
      <c r="B4" s="12" t="s">
        <v>350</v>
      </c>
      <c r="C4" s="431">
        <f>'Lot Pricing Worksheet'!F2</f>
        <v>500000</v>
      </c>
      <c r="D4" s="365"/>
      <c r="E4" s="70"/>
      <c r="H4" s="63"/>
      <c r="I4" s="63"/>
      <c r="J4" s="63"/>
      <c r="K4" s="73"/>
      <c r="L4" s="12"/>
      <c r="M4" s="67"/>
      <c r="N4" s="67"/>
    </row>
    <row r="5" spans="1:14">
      <c r="A5" s="1">
        <v>2</v>
      </c>
      <c r="B5" s="12" t="s">
        <v>350</v>
      </c>
      <c r="C5" s="66">
        <f>$C$4</f>
        <v>500000</v>
      </c>
      <c r="E5" s="71" t="s">
        <v>7</v>
      </c>
      <c r="H5" s="67"/>
      <c r="I5" s="67"/>
      <c r="J5" s="464" t="s">
        <v>127</v>
      </c>
      <c r="K5" s="73"/>
      <c r="L5" s="67"/>
      <c r="M5" s="67"/>
      <c r="N5" s="67"/>
    </row>
    <row r="6" spans="1:14">
      <c r="A6" s="1">
        <v>3</v>
      </c>
      <c r="B6" s="12" t="s">
        <v>350</v>
      </c>
      <c r="C6" s="66">
        <f t="shared" ref="C6:C11" si="0">$C$4</f>
        <v>500000</v>
      </c>
      <c r="E6" s="70" t="s">
        <v>5</v>
      </c>
      <c r="H6" s="66">
        <f>Proforma!BD17</f>
        <v>35800220.9814542</v>
      </c>
      <c r="I6" s="66"/>
      <c r="J6" s="66">
        <f>H6/SUMMARY!$G$9</f>
        <v>406820.692971071</v>
      </c>
      <c r="K6" s="73"/>
      <c r="L6" s="68"/>
      <c r="M6" s="67"/>
      <c r="N6" s="67"/>
    </row>
    <row r="7" spans="1:14" ht="14.5">
      <c r="A7" s="1">
        <v>4</v>
      </c>
      <c r="B7" s="12" t="s">
        <v>350</v>
      </c>
      <c r="C7" s="66">
        <f t="shared" si="0"/>
        <v>500000</v>
      </c>
      <c r="E7" s="104">
        <v>0.06</v>
      </c>
      <c r="H7" s="149">
        <f>Proforma!BD18</f>
        <v>-2148013.25888725</v>
      </c>
      <c r="I7" s="149"/>
      <c r="J7" s="149">
        <f>H7/SUMMARY!$G$9</f>
        <v>-24409.2415782642</v>
      </c>
      <c r="K7" s="73"/>
      <c r="L7" s="67"/>
      <c r="M7" s="67"/>
      <c r="N7" s="67"/>
    </row>
    <row r="8" spans="1:14">
      <c r="A8" s="1">
        <v>5</v>
      </c>
      <c r="B8" s="12" t="s">
        <v>350</v>
      </c>
      <c r="C8" s="66">
        <f t="shared" si="0"/>
        <v>500000</v>
      </c>
      <c r="E8" s="70" t="s">
        <v>2</v>
      </c>
      <c r="H8" s="66">
        <f>H6+H7</f>
        <v>33652207.722567</v>
      </c>
      <c r="I8" s="66"/>
      <c r="J8" s="66">
        <f>SUM(J6:J7)</f>
        <v>382411.451392806</v>
      </c>
      <c r="K8" s="73"/>
      <c r="M8" s="67"/>
      <c r="N8" s="67"/>
    </row>
    <row r="9" spans="1:14">
      <c r="A9" s="1">
        <v>6</v>
      </c>
      <c r="B9" s="12" t="s">
        <v>350</v>
      </c>
      <c r="C9" s="66">
        <f t="shared" si="0"/>
        <v>500000</v>
      </c>
      <c r="E9" s="70"/>
      <c r="H9" s="66"/>
      <c r="I9" s="66"/>
      <c r="J9" s="66"/>
      <c r="K9" s="73"/>
      <c r="M9" s="67"/>
      <c r="N9" s="67"/>
    </row>
    <row r="10" spans="1:14">
      <c r="A10" s="1">
        <v>7</v>
      </c>
      <c r="B10" s="12" t="s">
        <v>350</v>
      </c>
      <c r="C10" s="66">
        <f t="shared" si="0"/>
        <v>500000</v>
      </c>
      <c r="E10" s="74" t="s">
        <v>6</v>
      </c>
      <c r="H10" s="66"/>
      <c r="I10" s="66"/>
      <c r="J10" s="66"/>
      <c r="K10" s="73"/>
      <c r="L10" s="67"/>
      <c r="M10" s="67"/>
      <c r="N10" s="67"/>
    </row>
    <row r="11" spans="1:14">
      <c r="A11" s="1">
        <v>8</v>
      </c>
      <c r="B11" s="12" t="s">
        <v>350</v>
      </c>
      <c r="C11" s="66">
        <f t="shared" si="0"/>
        <v>500000</v>
      </c>
      <c r="E11" s="70" t="s">
        <v>348</v>
      </c>
      <c r="H11" s="1">
        <f>Proforma!BD22</f>
        <v>0</v>
      </c>
      <c r="J11" s="150">
        <f>H11/SUMMARY!$G$9</f>
        <v>0</v>
      </c>
      <c r="K11" s="73"/>
      <c r="L11" s="67"/>
      <c r="M11" s="67"/>
      <c r="N11" s="67"/>
    </row>
    <row r="12" spans="1:14">
      <c r="A12" s="1">
        <v>9</v>
      </c>
      <c r="B12" s="12" t="s">
        <v>351</v>
      </c>
      <c r="C12" s="431">
        <f>'Lot Pricing Worksheet'!F3</f>
        <v>300000</v>
      </c>
      <c r="E12" s="105">
        <v>0.04</v>
      </c>
      <c r="H12" s="1">
        <f>Proforma!BD23</f>
        <v>0</v>
      </c>
      <c r="J12" s="150">
        <f>H12/SUMMARY!$G$9</f>
        <v>0</v>
      </c>
      <c r="K12" s="73"/>
      <c r="L12" s="67"/>
      <c r="M12" s="67"/>
      <c r="N12" s="67"/>
    </row>
    <row r="13" spans="1:14">
      <c r="A13" s="1">
        <v>10</v>
      </c>
      <c r="B13" s="12" t="s">
        <v>351</v>
      </c>
      <c r="C13" s="66">
        <f>$C$12</f>
        <v>300000</v>
      </c>
      <c r="E13" s="402">
        <v>0.03</v>
      </c>
      <c r="H13" s="1">
        <f>Proforma!BD24</f>
        <v>0</v>
      </c>
      <c r="J13" s="150">
        <f>H13/SUMMARY!$G$9</f>
        <v>0</v>
      </c>
      <c r="K13" s="73"/>
      <c r="L13" s="67"/>
      <c r="M13" s="67"/>
      <c r="N13" s="67"/>
    </row>
    <row r="14" spans="1:14">
      <c r="A14" s="1">
        <v>11</v>
      </c>
      <c r="B14" s="12" t="s">
        <v>351</v>
      </c>
      <c r="C14" s="66">
        <f t="shared" ref="C14:C17" si="1">$C$12</f>
        <v>300000</v>
      </c>
      <c r="E14" s="106" t="s">
        <v>310</v>
      </c>
      <c r="H14" s="150">
        <f>Proforma!BD25</f>
        <v>600000</v>
      </c>
      <c r="I14" s="150"/>
      <c r="J14" s="150">
        <f>H14/SUMMARY!$G$9</f>
        <v>6818.18181818182</v>
      </c>
      <c r="K14" s="73"/>
      <c r="L14" s="67"/>
      <c r="M14" s="67"/>
      <c r="N14" s="67"/>
    </row>
    <row r="15" spans="1:14">
      <c r="A15" s="1">
        <v>12</v>
      </c>
      <c r="B15" s="12" t="s">
        <v>351</v>
      </c>
      <c r="C15" s="66">
        <f t="shared" si="1"/>
        <v>300000</v>
      </c>
      <c r="E15" s="105" t="s">
        <v>128</v>
      </c>
      <c r="H15" s="150">
        <f>SUM(Proforma!BD27:BD50)</f>
        <v>1435500</v>
      </c>
      <c r="I15" s="150"/>
      <c r="J15" s="150">
        <f>H15/SUMMARY!$G$9</f>
        <v>16312.5</v>
      </c>
      <c r="K15" s="73"/>
      <c r="L15" s="67"/>
      <c r="M15" s="67"/>
      <c r="N15" s="67"/>
    </row>
    <row r="16" spans="1:14">
      <c r="A16" s="1">
        <v>13</v>
      </c>
      <c r="B16" s="12" t="s">
        <v>351</v>
      </c>
      <c r="C16" s="66">
        <f t="shared" si="1"/>
        <v>300000</v>
      </c>
      <c r="E16" s="105" t="s">
        <v>107</v>
      </c>
      <c r="H16" s="150">
        <f>SUM(Proforma!BD52:BD66)</f>
        <v>8219011.9374</v>
      </c>
      <c r="I16" s="150"/>
      <c r="J16" s="150">
        <f>H16/SUMMARY!$G$9</f>
        <v>93397.862925</v>
      </c>
      <c r="K16" s="73"/>
      <c r="L16" s="67"/>
      <c r="M16" s="67"/>
      <c r="N16" s="67"/>
    </row>
    <row r="17" spans="1:20" ht="14.5">
      <c r="A17" s="1">
        <v>14</v>
      </c>
      <c r="B17" s="12" t="s">
        <v>351</v>
      </c>
      <c r="C17" s="66">
        <f t="shared" si="1"/>
        <v>300000</v>
      </c>
      <c r="E17" s="105" t="s">
        <v>108</v>
      </c>
      <c r="H17" s="149">
        <f>SUM(Proforma!BD68:BD79)</f>
        <v>1445988.31817922</v>
      </c>
      <c r="I17" s="149"/>
      <c r="J17" s="149">
        <f>H17/SUMMARY!$G$9</f>
        <v>16431.6854338548</v>
      </c>
      <c r="K17" s="73"/>
      <c r="L17" s="67"/>
      <c r="M17" s="67"/>
      <c r="N17" s="67"/>
    </row>
    <row r="18" spans="1:20">
      <c r="A18" s="1">
        <v>15</v>
      </c>
      <c r="B18" s="12" t="s">
        <v>352</v>
      </c>
      <c r="C18" s="431">
        <f>'Lot Pricing Worksheet'!F4</f>
        <v>600000</v>
      </c>
      <c r="E18" s="107" t="s">
        <v>119</v>
      </c>
      <c r="H18" s="66">
        <f>SUM(H14:H17)</f>
        <v>11700500.2555792</v>
      </c>
      <c r="I18" s="66"/>
      <c r="J18" s="66">
        <f>SUM(J14:J17)</f>
        <v>132960.230177037</v>
      </c>
      <c r="K18" s="73"/>
      <c r="L18" s="67"/>
      <c r="M18" s="67"/>
      <c r="N18" s="67"/>
    </row>
    <row r="19" spans="1:20">
      <c r="A19" s="1">
        <v>16</v>
      </c>
      <c r="B19" s="12" t="s">
        <v>352</v>
      </c>
      <c r="C19" s="66">
        <f>$C$18</f>
        <v>600000</v>
      </c>
      <c r="E19" s="107"/>
      <c r="H19" s="66"/>
      <c r="I19" s="66"/>
      <c r="J19" s="66"/>
      <c r="K19" s="73"/>
      <c r="L19" s="67"/>
      <c r="M19" s="67"/>
      <c r="N19" s="67"/>
    </row>
    <row r="20" spans="1:20">
      <c r="A20" s="1">
        <v>17</v>
      </c>
      <c r="B20" s="12" t="s">
        <v>352</v>
      </c>
      <c r="C20" s="66">
        <f>$C$18</f>
        <v>600000</v>
      </c>
      <c r="E20" s="105" t="s">
        <v>120</v>
      </c>
      <c r="H20" s="66">
        <f>H8-H18</f>
        <v>21951707.4669877</v>
      </c>
      <c r="I20" s="66"/>
      <c r="J20" s="66">
        <f>H20/SUMMARY!$G$9</f>
        <v>249451.22121577</v>
      </c>
      <c r="K20" s="73"/>
      <c r="L20" s="67"/>
      <c r="M20" s="67"/>
      <c r="N20" s="67"/>
    </row>
    <row r="21" spans="1:20" ht="14.5">
      <c r="A21" s="1">
        <v>18</v>
      </c>
      <c r="B21" s="12" t="s">
        <v>352</v>
      </c>
      <c r="C21" s="66">
        <f>$C$18</f>
        <v>600000</v>
      </c>
      <c r="E21" s="107"/>
      <c r="H21" s="66"/>
      <c r="I21" s="66"/>
      <c r="J21" s="67"/>
      <c r="K21" s="73"/>
      <c r="L21" s="85"/>
      <c r="M21" s="69"/>
      <c r="N21" s="69"/>
    </row>
    <row r="22" spans="1:20" ht="14.5">
      <c r="A22" s="1">
        <v>19</v>
      </c>
      <c r="B22" s="12" t="s">
        <v>352</v>
      </c>
      <c r="C22" s="66">
        <f>$C$18</f>
        <v>600000</v>
      </c>
      <c r="E22" s="105" t="s">
        <v>50</v>
      </c>
      <c r="H22" s="77">
        <f>H20/H8</f>
        <v>0.652311065234126</v>
      </c>
      <c r="I22" s="77"/>
      <c r="J22" s="69"/>
      <c r="K22" s="72"/>
      <c r="L22" s="69"/>
      <c r="M22" s="69"/>
      <c r="N22" s="69"/>
    </row>
    <row r="23" spans="1:20" ht="14.5">
      <c r="A23" s="1">
        <v>20</v>
      </c>
      <c r="B23" s="12" t="s">
        <v>353</v>
      </c>
      <c r="C23" s="431">
        <f>'Lot Pricing Worksheet'!F5</f>
        <v>225000</v>
      </c>
      <c r="E23" s="105" t="s">
        <v>49</v>
      </c>
      <c r="H23" s="111">
        <f>-MIN(Proforma!F84:BC84)</f>
        <v>11303558.9677004</v>
      </c>
      <c r="I23" s="111"/>
      <c r="J23" s="67"/>
      <c r="K23" s="73"/>
      <c r="L23" s="67"/>
      <c r="M23" s="69"/>
      <c r="N23" s="69"/>
    </row>
    <row r="24" spans="1:20" ht="14.5">
      <c r="A24" s="1">
        <v>21</v>
      </c>
      <c r="B24" s="12" t="s">
        <v>353</v>
      </c>
      <c r="C24" s="66">
        <f>$C$23</f>
        <v>225000</v>
      </c>
      <c r="E24" s="105" t="s">
        <v>48</v>
      </c>
      <c r="H24" s="112">
        <f>(H23+H20)/H23</f>
        <v>2.94201733539977</v>
      </c>
      <c r="I24" s="112"/>
      <c r="K24" s="73"/>
      <c r="M24" s="69"/>
      <c r="N24" s="69"/>
    </row>
    <row r="25" spans="1:20" ht="14.5">
      <c r="A25" s="1">
        <v>22</v>
      </c>
      <c r="B25" s="12" t="s">
        <v>353</v>
      </c>
      <c r="C25" s="66">
        <f t="shared" ref="C25:C34" si="2">$C$23</f>
        <v>225000</v>
      </c>
      <c r="E25" s="465"/>
      <c r="F25" s="466"/>
      <c r="G25" s="466"/>
      <c r="H25" s="466"/>
      <c r="I25" s="466"/>
      <c r="J25" s="467"/>
      <c r="K25" s="468"/>
      <c r="L25" s="108"/>
      <c r="M25" s="69"/>
      <c r="N25" s="69"/>
    </row>
    <row r="26" spans="1:20" ht="14.5">
      <c r="A26" s="1">
        <v>23</v>
      </c>
      <c r="B26" s="12" t="s">
        <v>353</v>
      </c>
      <c r="C26" s="66">
        <f t="shared" si="2"/>
        <v>225000</v>
      </c>
      <c r="E26" s="100"/>
      <c r="H26" s="66"/>
      <c r="I26" s="66"/>
      <c r="J26" s="76"/>
      <c r="L26" s="76"/>
      <c r="M26" s="69"/>
      <c r="N26" s="69"/>
    </row>
    <row r="27" spans="1:20" ht="14.5">
      <c r="A27" s="1">
        <v>24</v>
      </c>
      <c r="B27" s="12" t="s">
        <v>353</v>
      </c>
      <c r="C27" s="66">
        <f t="shared" si="2"/>
        <v>225000</v>
      </c>
      <c r="E27" s="100"/>
      <c r="H27" s="66"/>
      <c r="I27" s="66"/>
      <c r="J27" s="69"/>
      <c r="L27" s="69"/>
      <c r="M27" s="69"/>
      <c r="N27" s="69"/>
    </row>
    <row r="28" spans="1:20" ht="14.5">
      <c r="A28" s="1">
        <v>25</v>
      </c>
      <c r="B28" s="12" t="s">
        <v>353</v>
      </c>
      <c r="C28" s="66">
        <f t="shared" si="2"/>
        <v>225000</v>
      </c>
      <c r="E28" s="100"/>
      <c r="M28" s="69"/>
      <c r="N28" s="69"/>
    </row>
    <row r="29" spans="1:20" ht="14.5">
      <c r="A29" s="1">
        <v>26</v>
      </c>
      <c r="B29" s="12" t="s">
        <v>353</v>
      </c>
      <c r="C29" s="66">
        <f t="shared" si="2"/>
        <v>225000</v>
      </c>
      <c r="M29" s="69"/>
      <c r="N29" s="69"/>
    </row>
    <row r="30" spans="1:20" ht="14.5">
      <c r="A30" s="1">
        <v>27</v>
      </c>
      <c r="B30" s="12" t="s">
        <v>353</v>
      </c>
      <c r="C30" s="66">
        <f t="shared" si="2"/>
        <v>225000</v>
      </c>
      <c r="E30" s="100"/>
      <c r="H30" s="77"/>
      <c r="I30" s="77"/>
      <c r="J30" s="67"/>
      <c r="L30" s="67"/>
      <c r="M30" s="368" t="s">
        <v>315</v>
      </c>
      <c r="N30" s="367"/>
    </row>
    <row r="31" spans="1:20">
      <c r="A31" s="1">
        <v>28</v>
      </c>
      <c r="B31" s="12" t="s">
        <v>353</v>
      </c>
      <c r="C31" s="66">
        <f t="shared" si="2"/>
        <v>225000</v>
      </c>
      <c r="E31" s="100"/>
      <c r="H31" s="66"/>
      <c r="I31" s="66"/>
      <c r="M31" s="67" t="s">
        <v>312</v>
      </c>
      <c r="N31" s="67">
        <v>2000000</v>
      </c>
      <c r="T31" s="127">
        <f>N31/R32</f>
        <v>533.333333333333</v>
      </c>
    </row>
    <row r="32" spans="1:20">
      <c r="A32" s="1">
        <v>29</v>
      </c>
      <c r="B32" s="12" t="s">
        <v>353</v>
      </c>
      <c r="C32" s="66">
        <f t="shared" si="2"/>
        <v>225000</v>
      </c>
      <c r="E32" s="100"/>
      <c r="H32" s="109"/>
      <c r="I32" s="109"/>
      <c r="M32" s="141" t="s">
        <v>313</v>
      </c>
      <c r="N32" s="141">
        <v>1300000</v>
      </c>
      <c r="O32" s="125">
        <f>N32/N31</f>
        <v>0.65</v>
      </c>
      <c r="Q32" s="1" t="s">
        <v>319</v>
      </c>
      <c r="R32" s="366">
        <v>3750</v>
      </c>
      <c r="S32" s="1" t="s">
        <v>170</v>
      </c>
      <c r="T32" s="127">
        <f>N32/R32</f>
        <v>346.666666666667</v>
      </c>
    </row>
    <row r="33" spans="1:20" ht="14.5">
      <c r="A33" s="1">
        <v>30</v>
      </c>
      <c r="B33" s="12" t="s">
        <v>353</v>
      </c>
      <c r="C33" s="66">
        <f t="shared" si="2"/>
        <v>225000</v>
      </c>
      <c r="G33" s="68"/>
      <c r="H33" s="69"/>
      <c r="I33" s="69"/>
      <c r="J33" s="69"/>
      <c r="K33" s="68"/>
      <c r="L33" s="68"/>
      <c r="M33" s="67" t="s">
        <v>314</v>
      </c>
      <c r="N33" s="67">
        <f>N31-N32</f>
        <v>700000</v>
      </c>
      <c r="O33" s="125">
        <f>N33/N31</f>
        <v>0.35</v>
      </c>
    </row>
    <row r="34" spans="1:20" ht="14.5">
      <c r="A34" s="1">
        <v>31</v>
      </c>
      <c r="B34" s="12" t="s">
        <v>353</v>
      </c>
      <c r="C34" s="66">
        <f t="shared" si="2"/>
        <v>225000</v>
      </c>
      <c r="E34" s="100"/>
      <c r="G34" s="68"/>
      <c r="H34" s="69"/>
      <c r="I34" s="69"/>
      <c r="J34" s="69"/>
      <c r="K34" s="68"/>
      <c r="L34" s="68"/>
      <c r="M34" s="141" t="s">
        <v>316</v>
      </c>
      <c r="N34" s="141">
        <f>N33*-O34</f>
        <v>-140000</v>
      </c>
      <c r="O34" s="125">
        <v>0.2</v>
      </c>
    </row>
    <row r="35" spans="1:20" ht="14.5">
      <c r="A35" s="1">
        <v>32</v>
      </c>
      <c r="B35" s="12" t="s">
        <v>354</v>
      </c>
      <c r="C35" s="431">
        <f>'Lot Pricing Worksheet'!F6</f>
        <v>250000</v>
      </c>
      <c r="E35" s="100"/>
      <c r="G35" s="68"/>
      <c r="H35" s="69"/>
      <c r="I35" s="69"/>
      <c r="J35" s="69"/>
      <c r="K35" s="68"/>
      <c r="L35" s="68"/>
      <c r="M35" s="67" t="s">
        <v>317</v>
      </c>
      <c r="N35" s="67">
        <f>N33+N34</f>
        <v>560000</v>
      </c>
    </row>
    <row r="36" spans="1:20" ht="14.5">
      <c r="A36" s="1">
        <v>33</v>
      </c>
      <c r="B36" s="12" t="s">
        <v>354</v>
      </c>
      <c r="C36" s="66">
        <f>$C$35</f>
        <v>250000</v>
      </c>
      <c r="E36" s="100"/>
      <c r="G36" s="68"/>
      <c r="H36" s="69"/>
      <c r="I36" s="69"/>
      <c r="J36" s="69"/>
      <c r="K36" s="68"/>
      <c r="L36" s="68"/>
    </row>
    <row r="37" spans="1:20" ht="14.5">
      <c r="A37" s="1">
        <v>34</v>
      </c>
      <c r="B37" s="12" t="s">
        <v>354</v>
      </c>
      <c r="C37" s="66">
        <f t="shared" ref="C37:C38" si="3">$C$35</f>
        <v>250000</v>
      </c>
      <c r="E37" s="100"/>
      <c r="G37" s="68"/>
      <c r="H37" s="69"/>
      <c r="I37" s="69"/>
      <c r="J37" s="69"/>
      <c r="K37" s="68"/>
      <c r="L37" s="68"/>
      <c r="M37" s="368" t="s">
        <v>318</v>
      </c>
      <c r="N37" s="367"/>
    </row>
    <row r="38" spans="1:20" ht="14.5">
      <c r="A38" s="1">
        <v>35</v>
      </c>
      <c r="B38" s="12" t="s">
        <v>354</v>
      </c>
      <c r="C38" s="66">
        <f t="shared" si="3"/>
        <v>250000</v>
      </c>
      <c r="E38" s="100"/>
      <c r="G38" s="68"/>
      <c r="H38" s="69"/>
      <c r="I38" s="69"/>
      <c r="J38" s="69"/>
      <c r="K38" s="68"/>
      <c r="L38" s="68"/>
      <c r="M38" s="67" t="s">
        <v>312</v>
      </c>
      <c r="N38" s="67">
        <v>1300000</v>
      </c>
      <c r="T38" s="127">
        <f>N38/R39</f>
        <v>464.285714285714</v>
      </c>
    </row>
    <row r="39" spans="1:20" ht="14.5">
      <c r="A39" s="1">
        <v>36</v>
      </c>
      <c r="B39" s="12" t="s">
        <v>355</v>
      </c>
      <c r="C39" s="431">
        <f>'Lot Pricing Worksheet'!F7</f>
        <v>300000</v>
      </c>
      <c r="E39" s="100"/>
      <c r="G39" s="68"/>
      <c r="H39" s="69"/>
      <c r="I39" s="69"/>
      <c r="J39" s="69"/>
      <c r="K39" s="68"/>
      <c r="L39" s="68"/>
      <c r="M39" s="141" t="s">
        <v>313</v>
      </c>
      <c r="N39" s="141">
        <v>900000</v>
      </c>
      <c r="O39" s="125">
        <f>N39/N38</f>
        <v>0.692307692307692</v>
      </c>
      <c r="Q39" s="1" t="s">
        <v>319</v>
      </c>
      <c r="R39" s="366">
        <v>2800</v>
      </c>
      <c r="S39" s="1" t="s">
        <v>170</v>
      </c>
      <c r="T39" s="127">
        <f>N39/R39</f>
        <v>321.428571428571</v>
      </c>
    </row>
    <row r="40" spans="1:20" ht="14.5">
      <c r="A40" s="1">
        <v>37</v>
      </c>
      <c r="B40" s="12" t="s">
        <v>355</v>
      </c>
      <c r="C40" s="66">
        <f>$C$39</f>
        <v>300000</v>
      </c>
      <c r="E40" s="100"/>
      <c r="G40" s="68"/>
      <c r="H40" s="69"/>
      <c r="I40" s="69"/>
      <c r="J40" s="69"/>
      <c r="K40" s="68"/>
      <c r="L40" s="68"/>
      <c r="M40" s="67" t="s">
        <v>314</v>
      </c>
      <c r="N40" s="67">
        <f>N38-N39</f>
        <v>400000</v>
      </c>
      <c r="O40" s="125">
        <f>N40/N38</f>
        <v>0.307692307692308</v>
      </c>
    </row>
    <row r="41" spans="1:20" ht="14.5">
      <c r="A41" s="1">
        <v>38</v>
      </c>
      <c r="B41" s="12" t="s">
        <v>355</v>
      </c>
      <c r="C41" s="66">
        <f t="shared" ref="C41:C47" si="4">$C$39</f>
        <v>300000</v>
      </c>
      <c r="G41" s="68"/>
      <c r="H41" s="69"/>
      <c r="I41" s="69"/>
      <c r="J41" s="69"/>
      <c r="K41" s="68"/>
      <c r="L41" s="68"/>
      <c r="M41" s="141" t="s">
        <v>316</v>
      </c>
      <c r="N41" s="141">
        <f>N40*-O41</f>
        <v>-80000</v>
      </c>
      <c r="O41" s="125">
        <v>0.2</v>
      </c>
    </row>
    <row r="42" spans="1:20" ht="14.5">
      <c r="A42" s="1">
        <v>39</v>
      </c>
      <c r="B42" s="12" t="s">
        <v>355</v>
      </c>
      <c r="C42" s="66">
        <f t="shared" si="4"/>
        <v>300000</v>
      </c>
      <c r="E42" s="100"/>
      <c r="G42" s="68"/>
      <c r="H42" s="69"/>
      <c r="I42" s="69"/>
      <c r="J42" s="69"/>
      <c r="K42" s="68"/>
      <c r="L42" s="68"/>
      <c r="M42" s="67" t="s">
        <v>317</v>
      </c>
      <c r="N42" s="67">
        <f>N40+N41</f>
        <v>320000</v>
      </c>
    </row>
    <row r="43" spans="1:20" ht="14.5">
      <c r="A43" s="1">
        <v>40</v>
      </c>
      <c r="B43" s="12" t="s">
        <v>355</v>
      </c>
      <c r="C43" s="66">
        <f t="shared" si="4"/>
        <v>300000</v>
      </c>
      <c r="E43" s="100"/>
      <c r="G43" s="68"/>
      <c r="H43" s="69"/>
      <c r="I43" s="69"/>
      <c r="J43" s="69"/>
      <c r="K43" s="68"/>
      <c r="L43" s="68"/>
    </row>
    <row r="44" spans="1:20" ht="14.5">
      <c r="A44" s="1">
        <v>41</v>
      </c>
      <c r="B44" s="12" t="s">
        <v>355</v>
      </c>
      <c r="C44" s="66">
        <f t="shared" si="4"/>
        <v>300000</v>
      </c>
      <c r="E44" s="100"/>
      <c r="G44" s="68"/>
      <c r="H44" s="69"/>
      <c r="I44" s="69"/>
      <c r="J44" s="69"/>
      <c r="K44" s="68"/>
      <c r="L44" s="68"/>
      <c r="M44" s="368" t="s">
        <v>311</v>
      </c>
      <c r="N44" s="367"/>
    </row>
    <row r="45" spans="1:20" ht="14.5">
      <c r="A45" s="1">
        <v>42</v>
      </c>
      <c r="B45" s="12" t="s">
        <v>355</v>
      </c>
      <c r="C45" s="66">
        <f t="shared" si="4"/>
        <v>300000</v>
      </c>
      <c r="D45" s="365"/>
      <c r="E45" s="100"/>
      <c r="G45" s="68"/>
      <c r="H45" s="69"/>
      <c r="I45" s="69"/>
      <c r="J45" s="69"/>
      <c r="K45" s="68"/>
      <c r="L45" s="68"/>
      <c r="M45" s="67" t="s">
        <v>312</v>
      </c>
      <c r="N45" s="67">
        <v>1250000</v>
      </c>
    </row>
    <row r="46" spans="1:20" ht="14.5">
      <c r="A46" s="1">
        <v>43</v>
      </c>
      <c r="B46" s="12" t="s">
        <v>355</v>
      </c>
      <c r="C46" s="66">
        <f t="shared" si="4"/>
        <v>300000</v>
      </c>
      <c r="E46" s="100"/>
      <c r="G46" s="68"/>
      <c r="H46" s="69"/>
      <c r="I46" s="69"/>
      <c r="J46" s="69"/>
      <c r="K46" s="68"/>
      <c r="L46" s="68"/>
      <c r="M46" s="141" t="s">
        <v>313</v>
      </c>
      <c r="N46" s="141">
        <f>882000+30000</f>
        <v>912000</v>
      </c>
      <c r="O46" s="125">
        <f>N46/N45</f>
        <v>0.7296</v>
      </c>
      <c r="Q46" s="1" t="s">
        <v>319</v>
      </c>
      <c r="R46" s="366">
        <v>3031</v>
      </c>
      <c r="S46" s="1" t="s">
        <v>170</v>
      </c>
      <c r="T46" s="127">
        <f>N46/R46</f>
        <v>300.890795117123</v>
      </c>
    </row>
    <row r="47" spans="1:20" ht="14.5">
      <c r="A47" s="1">
        <v>44</v>
      </c>
      <c r="B47" s="12" t="s">
        <v>355</v>
      </c>
      <c r="C47" s="66">
        <f t="shared" si="4"/>
        <v>300000</v>
      </c>
      <c r="E47" s="100"/>
      <c r="G47" s="68"/>
      <c r="H47" s="69"/>
      <c r="I47" s="69"/>
      <c r="J47" s="69"/>
      <c r="K47" s="68"/>
      <c r="L47" s="68"/>
      <c r="M47" s="67" t="s">
        <v>314</v>
      </c>
      <c r="N47" s="67">
        <f>N45-N46</f>
        <v>338000</v>
      </c>
      <c r="O47" s="125">
        <f>N47/N45</f>
        <v>0.2704</v>
      </c>
    </row>
    <row r="48" spans="1:20" ht="14.5">
      <c r="A48" s="1">
        <v>45</v>
      </c>
      <c r="B48" s="12" t="s">
        <v>356</v>
      </c>
      <c r="C48" s="431">
        <f>'Lot Pricing Worksheet'!F8</f>
        <v>450000</v>
      </c>
      <c r="E48" s="100"/>
      <c r="G48" s="68"/>
      <c r="H48" s="69"/>
      <c r="I48" s="69"/>
      <c r="J48" s="69"/>
      <c r="K48" s="68"/>
      <c r="L48" s="68"/>
      <c r="M48" s="141" t="s">
        <v>316</v>
      </c>
      <c r="N48" s="141">
        <f>N47*-O48</f>
        <v>-67600</v>
      </c>
      <c r="O48" s="125">
        <v>0.2</v>
      </c>
    </row>
    <row r="49" spans="1:14" ht="14.5">
      <c r="A49" s="1">
        <v>46</v>
      </c>
      <c r="B49" s="12" t="s">
        <v>356</v>
      </c>
      <c r="C49" s="66">
        <f>$C$48</f>
        <v>450000</v>
      </c>
      <c r="E49" s="100"/>
      <c r="G49" s="68"/>
      <c r="H49" s="69"/>
      <c r="I49" s="69"/>
      <c r="J49" s="69"/>
      <c r="K49" s="68"/>
      <c r="L49" s="68"/>
      <c r="M49" s="67" t="s">
        <v>317</v>
      </c>
      <c r="N49" s="67">
        <f>N47+N48</f>
        <v>270400</v>
      </c>
    </row>
    <row r="50" spans="1:14" ht="14.5">
      <c r="A50" s="1">
        <v>47</v>
      </c>
      <c r="B50" s="12" t="s">
        <v>356</v>
      </c>
      <c r="C50" s="66">
        <f t="shared" ref="C50:C55" si="5">$C$48</f>
        <v>450000</v>
      </c>
      <c r="E50" s="100"/>
      <c r="G50" s="68"/>
      <c r="H50" s="69"/>
      <c r="I50" s="69"/>
      <c r="J50" s="69"/>
      <c r="K50" s="68"/>
      <c r="L50" s="68"/>
      <c r="M50" s="69"/>
      <c r="N50" s="69"/>
    </row>
    <row r="51" spans="1:14" ht="14.5">
      <c r="A51" s="1">
        <v>48</v>
      </c>
      <c r="B51" s="12" t="s">
        <v>356</v>
      </c>
      <c r="C51" s="66">
        <f t="shared" si="5"/>
        <v>450000</v>
      </c>
      <c r="E51" s="100"/>
      <c r="G51" s="68"/>
      <c r="H51" s="69"/>
      <c r="I51" s="69"/>
      <c r="J51" s="69"/>
      <c r="K51" s="68"/>
      <c r="L51" s="68"/>
      <c r="M51" s="127"/>
      <c r="N51" s="67"/>
    </row>
    <row r="52" spans="1:14" ht="14.5">
      <c r="A52" s="1">
        <v>49</v>
      </c>
      <c r="B52" s="12" t="s">
        <v>356</v>
      </c>
      <c r="C52" s="66">
        <f t="shared" si="5"/>
        <v>450000</v>
      </c>
      <c r="G52" s="68"/>
      <c r="H52" s="69"/>
      <c r="I52" s="69"/>
      <c r="J52" s="69"/>
      <c r="K52" s="68"/>
      <c r="L52" s="68"/>
      <c r="M52" s="67"/>
      <c r="N52" s="67"/>
    </row>
    <row r="53" spans="1:14" ht="14.5">
      <c r="A53" s="1">
        <v>50</v>
      </c>
      <c r="B53" s="12" t="s">
        <v>356</v>
      </c>
      <c r="C53" s="66">
        <f t="shared" si="5"/>
        <v>450000</v>
      </c>
      <c r="E53" s="100"/>
      <c r="G53" s="68"/>
      <c r="H53" s="69"/>
      <c r="I53" s="69"/>
      <c r="J53" s="69"/>
      <c r="K53" s="68"/>
      <c r="L53" s="68"/>
      <c r="M53" s="67"/>
      <c r="N53" s="67"/>
    </row>
    <row r="54" spans="1:14" ht="14.5">
      <c r="A54" s="1">
        <v>51</v>
      </c>
      <c r="B54" s="12" t="s">
        <v>356</v>
      </c>
      <c r="C54" s="66">
        <f t="shared" si="5"/>
        <v>450000</v>
      </c>
      <c r="E54" s="100"/>
      <c r="G54" s="68"/>
      <c r="H54" s="69"/>
      <c r="I54" s="69"/>
      <c r="J54" s="69"/>
      <c r="K54" s="68"/>
      <c r="L54" s="68"/>
      <c r="M54" s="67"/>
      <c r="N54" s="67"/>
    </row>
    <row r="55" spans="1:14" ht="14.5">
      <c r="A55" s="1">
        <v>52</v>
      </c>
      <c r="B55" s="12" t="s">
        <v>356</v>
      </c>
      <c r="C55" s="66">
        <f t="shared" si="5"/>
        <v>450000</v>
      </c>
      <c r="E55" s="100"/>
      <c r="G55" s="68"/>
      <c r="H55" s="69"/>
      <c r="I55" s="69"/>
      <c r="J55" s="69"/>
      <c r="K55" s="68"/>
      <c r="L55" s="68"/>
      <c r="M55" s="67"/>
      <c r="N55" s="67"/>
    </row>
    <row r="56" spans="1:14" ht="14.5">
      <c r="A56" s="1">
        <v>53</v>
      </c>
      <c r="B56" s="12" t="s">
        <v>357</v>
      </c>
      <c r="C56" s="431">
        <f>'Lot Pricing Worksheet'!F9</f>
        <v>400000</v>
      </c>
      <c r="E56" s="100"/>
      <c r="G56" s="68"/>
      <c r="H56" s="69"/>
      <c r="I56" s="69"/>
      <c r="J56" s="69"/>
      <c r="K56" s="68"/>
      <c r="L56" s="68"/>
      <c r="M56" s="67"/>
      <c r="N56" s="67"/>
    </row>
    <row r="57" spans="1:14" ht="14.5">
      <c r="A57" s="1">
        <v>54</v>
      </c>
      <c r="B57" s="12" t="s">
        <v>357</v>
      </c>
      <c r="C57" s="66">
        <f>$C$56</f>
        <v>400000</v>
      </c>
      <c r="E57" s="100"/>
      <c r="G57" s="68"/>
      <c r="H57" s="69"/>
      <c r="I57" s="69"/>
      <c r="J57" s="69"/>
      <c r="K57" s="68"/>
      <c r="L57" s="68"/>
      <c r="M57" s="67"/>
      <c r="N57" s="67"/>
    </row>
    <row r="58" spans="1:14" ht="14.5">
      <c r="A58" s="1">
        <v>55</v>
      </c>
      <c r="B58" s="12" t="s">
        <v>357</v>
      </c>
      <c r="C58" s="66">
        <f t="shared" ref="C58:C64" si="6">$C$56</f>
        <v>400000</v>
      </c>
      <c r="E58" s="100"/>
      <c r="G58" s="68"/>
      <c r="H58" s="69"/>
      <c r="I58" s="69"/>
      <c r="J58" s="69"/>
      <c r="K58" s="68"/>
      <c r="L58" s="68"/>
      <c r="M58" s="67"/>
      <c r="N58" s="67"/>
    </row>
    <row r="59" spans="1:14" ht="14.5">
      <c r="A59" s="1">
        <v>56</v>
      </c>
      <c r="B59" s="12" t="s">
        <v>357</v>
      </c>
      <c r="C59" s="66">
        <f t="shared" si="6"/>
        <v>400000</v>
      </c>
      <c r="E59" s="100"/>
      <c r="G59" s="68"/>
      <c r="H59" s="69"/>
      <c r="I59" s="69"/>
      <c r="J59" s="69"/>
      <c r="K59" s="68"/>
      <c r="L59" s="68"/>
      <c r="M59" s="67"/>
      <c r="N59" s="67"/>
    </row>
    <row r="60" spans="1:14" ht="14.5">
      <c r="A60" s="1">
        <v>57</v>
      </c>
      <c r="B60" s="12" t="s">
        <v>357</v>
      </c>
      <c r="C60" s="66">
        <f t="shared" si="6"/>
        <v>400000</v>
      </c>
      <c r="E60" s="100"/>
      <c r="G60" s="68"/>
      <c r="H60" s="69"/>
      <c r="I60" s="69"/>
      <c r="J60" s="69"/>
      <c r="K60" s="68"/>
      <c r="L60" s="68"/>
      <c r="M60" s="67"/>
      <c r="N60" s="67"/>
    </row>
    <row r="61" spans="1:14" ht="14.5">
      <c r="A61" s="1">
        <v>58</v>
      </c>
      <c r="B61" s="12" t="s">
        <v>357</v>
      </c>
      <c r="C61" s="66">
        <f t="shared" si="6"/>
        <v>400000</v>
      </c>
      <c r="E61" s="100"/>
      <c r="G61" s="68"/>
      <c r="H61" s="69"/>
      <c r="I61" s="69"/>
      <c r="J61" s="69"/>
      <c r="K61" s="68"/>
      <c r="L61" s="68"/>
      <c r="M61" s="67"/>
      <c r="N61" s="67"/>
    </row>
    <row r="62" spans="1:14" ht="14.5">
      <c r="A62" s="1">
        <v>59</v>
      </c>
      <c r="B62" s="12" t="s">
        <v>357</v>
      </c>
      <c r="C62" s="66">
        <f t="shared" si="6"/>
        <v>400000</v>
      </c>
      <c r="E62" s="100"/>
      <c r="G62" s="68"/>
      <c r="H62" s="69"/>
      <c r="I62" s="69"/>
      <c r="J62" s="69"/>
      <c r="K62" s="68"/>
      <c r="L62" s="68"/>
      <c r="M62" s="67"/>
      <c r="N62" s="67"/>
    </row>
    <row r="63" spans="1:14" ht="14.5">
      <c r="A63" s="1">
        <v>60</v>
      </c>
      <c r="B63" s="12" t="s">
        <v>357</v>
      </c>
      <c r="C63" s="66">
        <f t="shared" si="6"/>
        <v>400000</v>
      </c>
      <c r="E63" s="100"/>
      <c r="G63" s="68"/>
      <c r="H63" s="69"/>
      <c r="I63" s="69"/>
      <c r="J63" s="69"/>
      <c r="K63" s="68"/>
      <c r="L63" s="68"/>
      <c r="M63" s="69"/>
      <c r="N63" s="69"/>
    </row>
    <row r="64" spans="1:14" ht="14.5">
      <c r="A64" s="1">
        <v>61</v>
      </c>
      <c r="B64" s="12" t="s">
        <v>357</v>
      </c>
      <c r="C64" s="66">
        <f t="shared" si="6"/>
        <v>400000</v>
      </c>
      <c r="E64" s="100"/>
      <c r="G64" s="68"/>
      <c r="H64" s="69"/>
      <c r="I64" s="69"/>
      <c r="J64" s="69"/>
      <c r="K64" s="68"/>
      <c r="L64" s="68"/>
      <c r="M64" s="69"/>
      <c r="N64" s="69"/>
    </row>
    <row r="65" spans="1:14" ht="14.5">
      <c r="A65" s="1">
        <v>62</v>
      </c>
      <c r="B65" s="12" t="s">
        <v>356</v>
      </c>
      <c r="C65" s="431">
        <f>'Lot Pricing Worksheet'!F10</f>
        <v>450000</v>
      </c>
      <c r="E65" s="100"/>
      <c r="G65" s="68"/>
      <c r="H65" s="69"/>
      <c r="I65" s="69"/>
      <c r="J65" s="69"/>
      <c r="K65" s="68"/>
      <c r="L65" s="68"/>
      <c r="M65" s="69"/>
      <c r="N65" s="69"/>
    </row>
    <row r="66" spans="1:14" ht="14.5">
      <c r="A66" s="1">
        <v>63</v>
      </c>
      <c r="B66" s="12" t="s">
        <v>356</v>
      </c>
      <c r="C66" s="66">
        <f>$C$65</f>
        <v>450000</v>
      </c>
      <c r="E66" s="100"/>
      <c r="G66" s="68"/>
      <c r="H66" s="69"/>
      <c r="I66" s="69"/>
      <c r="J66" s="69"/>
      <c r="K66" s="68"/>
      <c r="L66" s="68"/>
      <c r="M66" s="69"/>
      <c r="N66" s="69"/>
    </row>
    <row r="67" spans="1:14" ht="14.5">
      <c r="A67" s="1">
        <v>64</v>
      </c>
      <c r="B67" s="12" t="s">
        <v>356</v>
      </c>
      <c r="C67" s="66">
        <f t="shared" ref="C67:C88" si="7">$C$65</f>
        <v>450000</v>
      </c>
      <c r="E67" s="100"/>
      <c r="G67" s="68"/>
      <c r="H67" s="69"/>
      <c r="I67" s="69"/>
      <c r="J67" s="69"/>
      <c r="K67" s="68"/>
      <c r="L67" s="68"/>
      <c r="M67" s="69"/>
      <c r="N67" s="69"/>
    </row>
    <row r="68" spans="1:14" ht="14.5">
      <c r="A68" s="1">
        <v>65</v>
      </c>
      <c r="B68" s="12" t="s">
        <v>356</v>
      </c>
      <c r="C68" s="66">
        <f t="shared" si="7"/>
        <v>450000</v>
      </c>
      <c r="E68" s="100"/>
      <c r="G68" s="68"/>
      <c r="H68" s="69"/>
      <c r="I68" s="69"/>
      <c r="J68" s="69"/>
      <c r="K68" s="68"/>
      <c r="L68" s="68"/>
      <c r="M68" s="69"/>
      <c r="N68" s="69"/>
    </row>
    <row r="69" spans="1:14" ht="14.5">
      <c r="A69" s="1">
        <v>66</v>
      </c>
      <c r="B69" s="12" t="s">
        <v>356</v>
      </c>
      <c r="C69" s="66">
        <f t="shared" si="7"/>
        <v>450000</v>
      </c>
      <c r="E69" s="100"/>
      <c r="G69" s="68"/>
      <c r="H69" s="69"/>
      <c r="I69" s="69"/>
      <c r="J69" s="69"/>
      <c r="K69" s="68"/>
      <c r="L69" s="68"/>
      <c r="M69" s="69"/>
      <c r="N69" s="69"/>
    </row>
    <row r="70" spans="1:14" ht="14.5">
      <c r="A70" s="1">
        <v>67</v>
      </c>
      <c r="B70" s="12" t="s">
        <v>356</v>
      </c>
      <c r="C70" s="66">
        <f t="shared" si="7"/>
        <v>450000</v>
      </c>
      <c r="E70" s="100"/>
      <c r="G70" s="68"/>
      <c r="H70" s="69"/>
      <c r="I70" s="69"/>
      <c r="J70" s="69"/>
      <c r="K70" s="68"/>
      <c r="L70" s="68"/>
      <c r="M70" s="69"/>
      <c r="N70" s="69"/>
    </row>
    <row r="71" spans="1:14" ht="14.5">
      <c r="A71" s="1">
        <v>68</v>
      </c>
      <c r="B71" s="12" t="s">
        <v>356</v>
      </c>
      <c r="C71" s="66">
        <f t="shared" si="7"/>
        <v>450000</v>
      </c>
      <c r="E71" s="100"/>
      <c r="G71" s="68"/>
      <c r="H71" s="69"/>
      <c r="I71" s="69"/>
      <c r="J71" s="69"/>
      <c r="K71" s="68"/>
      <c r="L71" s="68"/>
      <c r="M71" s="69"/>
      <c r="N71" s="69"/>
    </row>
    <row r="72" spans="1:14" ht="14.5">
      <c r="A72" s="1">
        <v>69</v>
      </c>
      <c r="B72" s="12" t="s">
        <v>356</v>
      </c>
      <c r="C72" s="66">
        <f t="shared" si="7"/>
        <v>450000</v>
      </c>
      <c r="E72" s="100"/>
      <c r="G72" s="68"/>
      <c r="H72" s="69"/>
      <c r="I72" s="69"/>
      <c r="J72" s="69"/>
      <c r="K72" s="68"/>
      <c r="L72" s="68"/>
      <c r="M72" s="69"/>
      <c r="N72" s="69"/>
    </row>
    <row r="73" spans="1:14" ht="14.5">
      <c r="A73" s="1">
        <v>70</v>
      </c>
      <c r="B73" s="12" t="s">
        <v>356</v>
      </c>
      <c r="C73" s="66">
        <f t="shared" si="7"/>
        <v>450000</v>
      </c>
      <c r="E73" s="100"/>
      <c r="G73" s="68"/>
      <c r="H73" s="69"/>
      <c r="I73" s="69"/>
      <c r="J73" s="69"/>
      <c r="K73" s="68"/>
      <c r="L73" s="68"/>
      <c r="M73" s="69"/>
      <c r="N73" s="69"/>
    </row>
    <row r="74" spans="1:14" ht="14.5">
      <c r="A74" s="1">
        <v>71</v>
      </c>
      <c r="B74" s="12" t="s">
        <v>356</v>
      </c>
      <c r="C74" s="66">
        <f t="shared" si="7"/>
        <v>450000</v>
      </c>
      <c r="E74" s="100"/>
      <c r="G74" s="68"/>
      <c r="H74" s="69"/>
      <c r="I74" s="69"/>
      <c r="J74" s="69"/>
      <c r="K74" s="68"/>
      <c r="L74" s="68"/>
      <c r="M74" s="69"/>
      <c r="N74" s="69"/>
    </row>
    <row r="75" spans="1:14" ht="14.5">
      <c r="A75" s="1">
        <v>72</v>
      </c>
      <c r="B75" s="12" t="s">
        <v>356</v>
      </c>
      <c r="C75" s="66">
        <f t="shared" si="7"/>
        <v>450000</v>
      </c>
      <c r="E75" s="100"/>
      <c r="G75" s="68"/>
      <c r="H75" s="69"/>
      <c r="I75" s="69"/>
      <c r="J75" s="69"/>
      <c r="K75" s="68"/>
      <c r="L75" s="68"/>
      <c r="M75" s="69"/>
      <c r="N75" s="69"/>
    </row>
    <row r="76" spans="1:14" ht="14.5">
      <c r="A76" s="1">
        <v>73</v>
      </c>
      <c r="B76" s="12" t="s">
        <v>356</v>
      </c>
      <c r="C76" s="66">
        <f t="shared" si="7"/>
        <v>450000</v>
      </c>
      <c r="E76" s="100"/>
      <c r="G76" s="68"/>
      <c r="H76" s="69"/>
      <c r="I76" s="69"/>
      <c r="J76" s="69"/>
      <c r="K76" s="68"/>
      <c r="L76" s="68"/>
      <c r="M76" s="69"/>
      <c r="N76" s="69"/>
    </row>
    <row r="77" spans="1:14" ht="14.5">
      <c r="A77" s="1">
        <v>74</v>
      </c>
      <c r="B77" s="12" t="s">
        <v>356</v>
      </c>
      <c r="C77" s="66">
        <f t="shared" si="7"/>
        <v>450000</v>
      </c>
      <c r="E77" s="100"/>
      <c r="G77" s="68"/>
      <c r="H77" s="69"/>
      <c r="I77" s="69"/>
      <c r="J77" s="69"/>
      <c r="K77" s="68"/>
      <c r="L77" s="68"/>
      <c r="M77" s="69"/>
      <c r="N77" s="69"/>
    </row>
    <row r="78" spans="1:14" ht="14.5">
      <c r="A78" s="1">
        <v>75</v>
      </c>
      <c r="B78" s="12" t="s">
        <v>356</v>
      </c>
      <c r="C78" s="66">
        <f t="shared" si="7"/>
        <v>450000</v>
      </c>
      <c r="E78" s="100"/>
      <c r="G78" s="68"/>
      <c r="H78" s="69"/>
      <c r="I78" s="69"/>
      <c r="J78" s="69"/>
      <c r="K78" s="68"/>
      <c r="L78" s="68"/>
      <c r="M78" s="69"/>
      <c r="N78" s="69"/>
    </row>
    <row r="79" spans="1:14" ht="14.5">
      <c r="A79" s="1">
        <v>76</v>
      </c>
      <c r="B79" s="12" t="s">
        <v>356</v>
      </c>
      <c r="C79" s="66">
        <f t="shared" si="7"/>
        <v>450000</v>
      </c>
      <c r="E79" s="100"/>
      <c r="G79" s="68"/>
      <c r="H79" s="69"/>
      <c r="I79" s="69"/>
      <c r="J79" s="69"/>
      <c r="K79" s="68"/>
      <c r="L79" s="68"/>
      <c r="M79" s="69"/>
      <c r="N79" s="69"/>
    </row>
    <row r="80" spans="1:14" ht="14.5">
      <c r="A80" s="1">
        <v>77</v>
      </c>
      <c r="B80" s="12" t="s">
        <v>356</v>
      </c>
      <c r="C80" s="66">
        <f t="shared" si="7"/>
        <v>450000</v>
      </c>
      <c r="E80" s="100"/>
      <c r="G80" s="68"/>
      <c r="H80" s="69"/>
      <c r="I80" s="69"/>
      <c r="J80" s="69"/>
      <c r="K80" s="68"/>
      <c r="L80" s="68"/>
      <c r="M80" s="69"/>
      <c r="N80" s="69"/>
    </row>
    <row r="81" spans="1:14" ht="14.5">
      <c r="A81" s="1">
        <v>78</v>
      </c>
      <c r="B81" s="12" t="s">
        <v>356</v>
      </c>
      <c r="C81" s="66">
        <f t="shared" si="7"/>
        <v>450000</v>
      </c>
      <c r="E81" s="100"/>
      <c r="G81" s="68"/>
      <c r="H81" s="69"/>
      <c r="I81" s="69"/>
      <c r="J81" s="69"/>
      <c r="K81" s="68"/>
      <c r="L81" s="68"/>
      <c r="M81" s="69"/>
      <c r="N81" s="69"/>
    </row>
    <row r="82" spans="1:14" ht="14.5">
      <c r="A82" s="1">
        <v>79</v>
      </c>
      <c r="B82" s="12" t="s">
        <v>356</v>
      </c>
      <c r="C82" s="66">
        <f t="shared" si="7"/>
        <v>450000</v>
      </c>
      <c r="E82" s="100"/>
      <c r="G82" s="68"/>
      <c r="H82" s="69"/>
      <c r="I82" s="69"/>
      <c r="J82" s="69"/>
      <c r="K82" s="68"/>
      <c r="L82" s="68"/>
      <c r="M82" s="69"/>
      <c r="N82" s="69"/>
    </row>
    <row r="83" spans="1:14" ht="14.5">
      <c r="A83" s="1">
        <v>80</v>
      </c>
      <c r="B83" s="12" t="s">
        <v>356</v>
      </c>
      <c r="C83" s="66">
        <f t="shared" si="7"/>
        <v>450000</v>
      </c>
      <c r="E83" s="100"/>
      <c r="G83" s="68"/>
      <c r="H83" s="69"/>
      <c r="I83" s="69"/>
      <c r="J83" s="69"/>
      <c r="K83" s="68"/>
      <c r="L83" s="68"/>
      <c r="M83" s="69"/>
      <c r="N83" s="69"/>
    </row>
    <row r="84" spans="1:14" ht="14.5">
      <c r="A84" s="1">
        <v>81</v>
      </c>
      <c r="B84" s="12" t="s">
        <v>356</v>
      </c>
      <c r="C84" s="66">
        <f t="shared" si="7"/>
        <v>450000</v>
      </c>
      <c r="E84" s="100"/>
      <c r="G84" s="68"/>
      <c r="H84" s="69"/>
      <c r="I84" s="69"/>
      <c r="J84" s="69"/>
      <c r="K84" s="68"/>
      <c r="L84" s="68"/>
      <c r="M84" s="69"/>
      <c r="N84" s="69"/>
    </row>
    <row r="85" spans="1:14" ht="14.5">
      <c r="A85" s="1">
        <v>82</v>
      </c>
      <c r="B85" s="12" t="s">
        <v>356</v>
      </c>
      <c r="C85" s="66">
        <f t="shared" si="7"/>
        <v>450000</v>
      </c>
      <c r="E85" s="100"/>
      <c r="G85" s="68"/>
      <c r="H85" s="69"/>
      <c r="I85" s="69"/>
      <c r="J85" s="69"/>
      <c r="K85" s="68"/>
      <c r="L85" s="68"/>
      <c r="M85" s="69"/>
      <c r="N85" s="69"/>
    </row>
    <row r="86" spans="1:14" ht="14.5">
      <c r="A86" s="1">
        <v>83</v>
      </c>
      <c r="B86" s="12" t="s">
        <v>356</v>
      </c>
      <c r="C86" s="66">
        <f t="shared" si="7"/>
        <v>450000</v>
      </c>
      <c r="E86" s="100"/>
      <c r="G86" s="68"/>
      <c r="H86" s="69"/>
      <c r="I86" s="69"/>
      <c r="J86" s="69"/>
      <c r="K86" s="68"/>
      <c r="L86" s="68"/>
      <c r="M86" s="69"/>
      <c r="N86" s="69"/>
    </row>
    <row r="87" spans="1:14" ht="14.5">
      <c r="A87" s="1">
        <v>84</v>
      </c>
      <c r="B87" s="12" t="s">
        <v>356</v>
      </c>
      <c r="C87" s="66">
        <f t="shared" si="7"/>
        <v>450000</v>
      </c>
      <c r="E87" s="100"/>
      <c r="G87" s="68"/>
      <c r="H87" s="69"/>
      <c r="I87" s="69"/>
      <c r="J87" s="69"/>
      <c r="K87" s="68"/>
      <c r="L87" s="68"/>
      <c r="M87" s="69"/>
      <c r="N87" s="69"/>
    </row>
    <row r="88" spans="1:14" ht="14.5">
      <c r="A88" s="1">
        <v>85</v>
      </c>
      <c r="B88" s="12" t="s">
        <v>356</v>
      </c>
      <c r="C88" s="66">
        <f t="shared" si="7"/>
        <v>450000</v>
      </c>
      <c r="E88" s="100"/>
      <c r="G88" s="68"/>
      <c r="H88" s="69"/>
      <c r="I88" s="69"/>
      <c r="J88" s="69"/>
      <c r="K88" s="68"/>
      <c r="L88" s="68"/>
      <c r="M88" s="69"/>
      <c r="N88" s="69"/>
    </row>
    <row r="89" spans="1:14" ht="14.5">
      <c r="A89" s="1">
        <v>86</v>
      </c>
      <c r="B89" s="12" t="s">
        <v>358</v>
      </c>
      <c r="C89" s="431">
        <f>'Lot Pricing Worksheet'!F11</f>
        <v>750000</v>
      </c>
      <c r="E89" s="100"/>
      <c r="G89" s="68"/>
      <c r="H89" s="69"/>
      <c r="I89" s="69"/>
      <c r="J89" s="69"/>
      <c r="K89" s="68"/>
      <c r="L89" s="68"/>
      <c r="M89" s="69"/>
      <c r="N89" s="69"/>
    </row>
    <row r="90" spans="1:14" ht="14.5">
      <c r="A90" s="1">
        <v>87</v>
      </c>
      <c r="B90" s="12" t="s">
        <v>358</v>
      </c>
      <c r="C90" s="66">
        <f>C89</f>
        <v>750000</v>
      </c>
      <c r="E90" s="100"/>
      <c r="G90" s="68"/>
      <c r="H90" s="69"/>
      <c r="I90" s="69"/>
      <c r="J90" s="69"/>
      <c r="K90" s="68"/>
      <c r="L90" s="68"/>
      <c r="M90" s="69"/>
      <c r="N90" s="69"/>
    </row>
    <row r="91" spans="1:14" ht="14.5">
      <c r="A91" s="151">
        <v>88</v>
      </c>
      <c r="B91" s="399" t="s">
        <v>358</v>
      </c>
      <c r="C91" s="140">
        <f>C89</f>
        <v>750000</v>
      </c>
      <c r="E91" s="100"/>
      <c r="G91" s="68"/>
      <c r="H91" s="69"/>
      <c r="I91" s="69"/>
      <c r="J91" s="69"/>
      <c r="K91" s="68"/>
      <c r="L91" s="68"/>
      <c r="M91" s="69"/>
      <c r="N91" s="69"/>
    </row>
    <row r="92" spans="1:14" ht="14.5">
      <c r="B92" s="12"/>
      <c r="C92" s="66">
        <f>SUM(C4:C91)</f>
        <v>35450000</v>
      </c>
      <c r="E92" s="100"/>
      <c r="G92" s="68"/>
      <c r="H92" s="69"/>
      <c r="I92" s="69"/>
      <c r="J92" s="69"/>
      <c r="K92" s="68"/>
      <c r="L92" s="68"/>
      <c r="M92" s="69"/>
      <c r="N92" s="69"/>
    </row>
    <row r="93" spans="1:14" ht="14.5">
      <c r="A93" s="1" t="s">
        <v>51</v>
      </c>
      <c r="B93" s="12"/>
      <c r="C93" s="66">
        <f>AVERAGE(C4:C91)</f>
        <v>402840.909090909</v>
      </c>
      <c r="E93" s="100"/>
      <c r="G93" s="68"/>
      <c r="H93" s="69"/>
      <c r="I93" s="69"/>
      <c r="J93" s="69"/>
      <c r="K93" s="68"/>
      <c r="L93" s="68"/>
      <c r="M93" s="69"/>
      <c r="N93" s="69"/>
    </row>
    <row r="94" spans="1:14" ht="14.5">
      <c r="B94" s="12"/>
      <c r="C94" s="66"/>
      <c r="E94" s="100"/>
      <c r="G94" s="68"/>
      <c r="H94" s="69"/>
      <c r="I94" s="69"/>
      <c r="J94" s="69"/>
      <c r="K94" s="68"/>
      <c r="L94" s="68"/>
      <c r="M94" s="69"/>
      <c r="N94" s="69"/>
    </row>
    <row r="95" spans="1:14" ht="14.5">
      <c r="B95" s="12"/>
      <c r="C95" s="66"/>
      <c r="E95" s="100"/>
      <c r="G95" s="68"/>
      <c r="H95" s="69"/>
      <c r="I95" s="69"/>
      <c r="J95" s="69"/>
      <c r="K95" s="68"/>
      <c r="L95" s="68"/>
      <c r="M95" s="69"/>
      <c r="N95" s="69"/>
    </row>
    <row r="96" spans="1:14" ht="14.5">
      <c r="B96" s="12"/>
      <c r="C96" s="66"/>
      <c r="E96" s="100"/>
      <c r="G96" s="68"/>
      <c r="H96" s="69"/>
      <c r="I96" s="69"/>
      <c r="J96" s="69"/>
      <c r="K96" s="68"/>
      <c r="L96" s="68"/>
      <c r="M96" s="69"/>
      <c r="N96" s="69"/>
    </row>
    <row r="97" spans="2:14" ht="14.5">
      <c r="B97" s="12"/>
      <c r="C97" s="66"/>
      <c r="E97" s="100"/>
      <c r="G97" s="68"/>
      <c r="H97" s="69"/>
      <c r="I97" s="69"/>
      <c r="J97" s="69"/>
      <c r="K97" s="68"/>
      <c r="L97" s="68"/>
      <c r="M97" s="69"/>
      <c r="N97" s="69"/>
    </row>
    <row r="98" spans="2:14" ht="14.5">
      <c r="B98" s="12"/>
      <c r="C98" s="66"/>
      <c r="E98" s="100"/>
      <c r="G98" s="68"/>
      <c r="H98" s="69"/>
      <c r="I98" s="69"/>
      <c r="J98" s="69"/>
      <c r="K98" s="68"/>
      <c r="L98" s="68"/>
      <c r="M98" s="69"/>
      <c r="N98" s="69"/>
    </row>
    <row r="99" spans="2:14" ht="14.5">
      <c r="B99" s="12"/>
      <c r="C99" s="66"/>
      <c r="E99" s="100"/>
      <c r="G99" s="68"/>
      <c r="H99" s="69"/>
      <c r="I99" s="69"/>
      <c r="J99" s="69"/>
      <c r="K99" s="68"/>
      <c r="L99" s="68"/>
      <c r="M99" s="69"/>
      <c r="N99" s="69"/>
    </row>
    <row r="100" spans="2:14" ht="14.5">
      <c r="B100" s="12"/>
      <c r="C100" s="66"/>
      <c r="E100" s="100"/>
      <c r="G100" s="68"/>
      <c r="H100" s="69"/>
      <c r="I100" s="69"/>
      <c r="J100" s="69"/>
      <c r="K100" s="68"/>
      <c r="L100" s="68"/>
      <c r="M100" s="69"/>
      <c r="N100" s="69"/>
    </row>
    <row r="101" spans="2:14" ht="14.5">
      <c r="B101" s="12"/>
      <c r="C101" s="66"/>
      <c r="E101" s="100"/>
      <c r="G101" s="68"/>
      <c r="H101" s="69"/>
      <c r="I101" s="69"/>
      <c r="J101" s="69"/>
      <c r="K101" s="68"/>
      <c r="L101" s="68"/>
      <c r="M101" s="69"/>
      <c r="N101" s="69"/>
    </row>
    <row r="102" spans="2:14" ht="14.5">
      <c r="B102" s="12"/>
      <c r="C102" s="66"/>
      <c r="E102" s="100"/>
      <c r="G102" s="68"/>
      <c r="H102" s="69"/>
      <c r="I102" s="69"/>
      <c r="J102" s="69"/>
      <c r="K102" s="68"/>
      <c r="L102" s="68"/>
      <c r="M102" s="69"/>
      <c r="N102" s="69"/>
    </row>
    <row r="103" spans="2:14" ht="14.5">
      <c r="B103" s="12"/>
      <c r="C103" s="66"/>
      <c r="E103" s="100"/>
      <c r="G103" s="68"/>
      <c r="H103" s="69"/>
      <c r="I103" s="69"/>
      <c r="J103" s="69"/>
      <c r="K103" s="68"/>
      <c r="L103" s="68"/>
      <c r="M103" s="69"/>
      <c r="N103" s="69"/>
    </row>
    <row r="104" spans="2:14" ht="14.5">
      <c r="B104" s="12"/>
      <c r="C104" s="66"/>
      <c r="E104" s="100"/>
      <c r="G104" s="68"/>
      <c r="H104" s="69"/>
      <c r="I104" s="69"/>
      <c r="J104" s="69"/>
      <c r="K104" s="68"/>
      <c r="L104" s="68"/>
      <c r="M104" s="69"/>
      <c r="N104" s="69"/>
    </row>
    <row r="105" spans="2:14" ht="14.5">
      <c r="B105" s="12"/>
      <c r="C105" s="66"/>
      <c r="E105" s="100"/>
      <c r="G105" s="68"/>
      <c r="H105" s="69"/>
      <c r="I105" s="69"/>
      <c r="J105" s="69"/>
      <c r="K105" s="68"/>
      <c r="L105" s="68"/>
      <c r="M105" s="69"/>
      <c r="N105" s="69"/>
    </row>
    <row r="106" spans="2:14" ht="14.5">
      <c r="B106" s="12"/>
      <c r="C106" s="66"/>
      <c r="E106" s="100"/>
      <c r="G106" s="68"/>
      <c r="H106" s="69"/>
      <c r="I106" s="69"/>
      <c r="J106" s="69"/>
      <c r="K106" s="68"/>
      <c r="L106" s="68"/>
      <c r="M106" s="69"/>
      <c r="N106" s="69"/>
    </row>
    <row r="107" spans="2:14" ht="14.5">
      <c r="B107" s="12"/>
      <c r="C107" s="66"/>
      <c r="E107" s="100"/>
      <c r="G107" s="68"/>
      <c r="H107" s="69"/>
      <c r="I107" s="69"/>
      <c r="J107" s="69"/>
      <c r="K107" s="68"/>
      <c r="L107" s="68"/>
      <c r="M107" s="69"/>
      <c r="N107" s="69"/>
    </row>
    <row r="108" spans="2:14">
      <c r="B108" s="12"/>
      <c r="C108" s="66"/>
      <c r="E108" s="100"/>
      <c r="G108" s="66"/>
      <c r="H108" s="66"/>
      <c r="I108" s="66"/>
      <c r="J108" s="66"/>
      <c r="K108" s="66"/>
      <c r="L108" s="66"/>
      <c r="M108" s="66"/>
      <c r="N108" s="66"/>
    </row>
    <row r="109" spans="2:14">
      <c r="C109" s="66"/>
      <c r="D109" s="66"/>
      <c r="E109" s="100"/>
    </row>
    <row r="110" spans="2:14">
      <c r="C110" s="127"/>
      <c r="E110" s="100"/>
    </row>
    <row r="111" spans="2:14">
      <c r="E111" s="100"/>
    </row>
    <row r="112" spans="2:14">
      <c r="E112" s="100"/>
    </row>
    <row r="132" spans="12:12">
      <c r="L132" s="75"/>
    </row>
    <row r="133" spans="12:12">
      <c r="L133" s="75"/>
    </row>
  </sheetData>
  <pageMargins left="0.25" right="0.25" top="0.75" bottom="0.75" header="0.3" footer="0.3"/>
  <pageSetup scale="3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DEEF-3BAD-4F4B-B018-7C17BA357EB8}">
  <sheetPr>
    <pageSetUpPr fitToPage="1"/>
  </sheetPr>
  <dimension ref="A1:M44"/>
  <sheetViews>
    <sheetView zoomScale="85" zoomScaleNormal="85" workbookViewId="0">
      <selection activeCell="A9" sqref="A9"/>
    </sheetView>
  </sheetViews>
  <sheetFormatPr defaultRowHeight="15.5"/>
  <cols>
    <col min="1" max="1" width="36.7265625" style="93" bestFit="1" customWidth="1"/>
    <col min="2" max="2" width="18.26953125" style="93" customWidth="1"/>
    <col min="3" max="3" width="7.54296875" style="93" customWidth="1"/>
    <col min="4" max="4" width="15.7265625" style="96" customWidth="1"/>
    <col min="5" max="5" width="16.26953125" style="93" customWidth="1"/>
    <col min="6" max="6" width="14.54296875" style="93" bestFit="1" customWidth="1"/>
    <col min="7" max="7" width="16.453125" style="93" bestFit="1" customWidth="1"/>
    <col min="8" max="8" width="13.81640625" style="93" bestFit="1" customWidth="1"/>
    <col min="9" max="9" width="13.81640625" style="93" customWidth="1"/>
    <col min="10" max="10" width="85" style="93" bestFit="1" customWidth="1"/>
    <col min="11" max="11" width="65.54296875" style="93" bestFit="1" customWidth="1"/>
    <col min="12" max="258" width="8.7265625" style="93"/>
    <col min="259" max="259" width="24" style="93" bestFit="1" customWidth="1"/>
    <col min="260" max="260" width="18.26953125" style="93" customWidth="1"/>
    <col min="261" max="261" width="7.54296875" style="93" customWidth="1"/>
    <col min="262" max="262" width="15.7265625" style="93" customWidth="1"/>
    <col min="263" max="263" width="16.26953125" style="93" customWidth="1"/>
    <col min="264" max="264" width="14.54296875" style="93" bestFit="1" customWidth="1"/>
    <col min="265" max="265" width="13.81640625" style="93" bestFit="1" customWidth="1"/>
    <col min="266" max="266" width="85" style="93" bestFit="1" customWidth="1"/>
    <col min="267" max="267" width="60.81640625" style="93" bestFit="1" customWidth="1"/>
    <col min="268" max="514" width="8.7265625" style="93"/>
    <col min="515" max="515" width="24" style="93" bestFit="1" customWidth="1"/>
    <col min="516" max="516" width="18.26953125" style="93" customWidth="1"/>
    <col min="517" max="517" width="7.54296875" style="93" customWidth="1"/>
    <col min="518" max="518" width="15.7265625" style="93" customWidth="1"/>
    <col min="519" max="519" width="16.26953125" style="93" customWidth="1"/>
    <col min="520" max="520" width="14.54296875" style="93" bestFit="1" customWidth="1"/>
    <col min="521" max="521" width="13.81640625" style="93" bestFit="1" customWidth="1"/>
    <col min="522" max="522" width="85" style="93" bestFit="1" customWidth="1"/>
    <col min="523" max="523" width="60.81640625" style="93" bestFit="1" customWidth="1"/>
    <col min="524" max="770" width="8.7265625" style="93"/>
    <col min="771" max="771" width="24" style="93" bestFit="1" customWidth="1"/>
    <col min="772" max="772" width="18.26953125" style="93" customWidth="1"/>
    <col min="773" max="773" width="7.54296875" style="93" customWidth="1"/>
    <col min="774" max="774" width="15.7265625" style="93" customWidth="1"/>
    <col min="775" max="775" width="16.26953125" style="93" customWidth="1"/>
    <col min="776" max="776" width="14.54296875" style="93" bestFit="1" customWidth="1"/>
    <col min="777" max="777" width="13.81640625" style="93" bestFit="1" customWidth="1"/>
    <col min="778" max="778" width="85" style="93" bestFit="1" customWidth="1"/>
    <col min="779" max="779" width="60.81640625" style="93" bestFit="1" customWidth="1"/>
    <col min="780" max="1026" width="8.7265625" style="93"/>
    <col min="1027" max="1027" width="24" style="93" bestFit="1" customWidth="1"/>
    <col min="1028" max="1028" width="18.26953125" style="93" customWidth="1"/>
    <col min="1029" max="1029" width="7.54296875" style="93" customWidth="1"/>
    <col min="1030" max="1030" width="15.7265625" style="93" customWidth="1"/>
    <col min="1031" max="1031" width="16.26953125" style="93" customWidth="1"/>
    <col min="1032" max="1032" width="14.54296875" style="93" bestFit="1" customWidth="1"/>
    <col min="1033" max="1033" width="13.81640625" style="93" bestFit="1" customWidth="1"/>
    <col min="1034" max="1034" width="85" style="93" bestFit="1" customWidth="1"/>
    <col min="1035" max="1035" width="60.81640625" style="93" bestFit="1" customWidth="1"/>
    <col min="1036" max="1282" width="8.7265625" style="93"/>
    <col min="1283" max="1283" width="24" style="93" bestFit="1" customWidth="1"/>
    <col min="1284" max="1284" width="18.26953125" style="93" customWidth="1"/>
    <col min="1285" max="1285" width="7.54296875" style="93" customWidth="1"/>
    <col min="1286" max="1286" width="15.7265625" style="93" customWidth="1"/>
    <col min="1287" max="1287" width="16.26953125" style="93" customWidth="1"/>
    <col min="1288" max="1288" width="14.54296875" style="93" bestFit="1" customWidth="1"/>
    <col min="1289" max="1289" width="13.81640625" style="93" bestFit="1" customWidth="1"/>
    <col min="1290" max="1290" width="85" style="93" bestFit="1" customWidth="1"/>
    <col min="1291" max="1291" width="60.81640625" style="93" bestFit="1" customWidth="1"/>
    <col min="1292" max="1538" width="8.7265625" style="93"/>
    <col min="1539" max="1539" width="24" style="93" bestFit="1" customWidth="1"/>
    <col min="1540" max="1540" width="18.26953125" style="93" customWidth="1"/>
    <col min="1541" max="1541" width="7.54296875" style="93" customWidth="1"/>
    <col min="1542" max="1542" width="15.7265625" style="93" customWidth="1"/>
    <col min="1543" max="1543" width="16.26953125" style="93" customWidth="1"/>
    <col min="1544" max="1544" width="14.54296875" style="93" bestFit="1" customWidth="1"/>
    <col min="1545" max="1545" width="13.81640625" style="93" bestFit="1" customWidth="1"/>
    <col min="1546" max="1546" width="85" style="93" bestFit="1" customWidth="1"/>
    <col min="1547" max="1547" width="60.81640625" style="93" bestFit="1" customWidth="1"/>
    <col min="1548" max="1794" width="8.7265625" style="93"/>
    <col min="1795" max="1795" width="24" style="93" bestFit="1" customWidth="1"/>
    <col min="1796" max="1796" width="18.26953125" style="93" customWidth="1"/>
    <col min="1797" max="1797" width="7.54296875" style="93" customWidth="1"/>
    <col min="1798" max="1798" width="15.7265625" style="93" customWidth="1"/>
    <col min="1799" max="1799" width="16.26953125" style="93" customWidth="1"/>
    <col min="1800" max="1800" width="14.54296875" style="93" bestFit="1" customWidth="1"/>
    <col min="1801" max="1801" width="13.81640625" style="93" bestFit="1" customWidth="1"/>
    <col min="1802" max="1802" width="85" style="93" bestFit="1" customWidth="1"/>
    <col min="1803" max="1803" width="60.81640625" style="93" bestFit="1" customWidth="1"/>
    <col min="1804" max="2050" width="8.7265625" style="93"/>
    <col min="2051" max="2051" width="24" style="93" bestFit="1" customWidth="1"/>
    <col min="2052" max="2052" width="18.26953125" style="93" customWidth="1"/>
    <col min="2053" max="2053" width="7.54296875" style="93" customWidth="1"/>
    <col min="2054" max="2054" width="15.7265625" style="93" customWidth="1"/>
    <col min="2055" max="2055" width="16.26953125" style="93" customWidth="1"/>
    <col min="2056" max="2056" width="14.54296875" style="93" bestFit="1" customWidth="1"/>
    <col min="2057" max="2057" width="13.81640625" style="93" bestFit="1" customWidth="1"/>
    <col min="2058" max="2058" width="85" style="93" bestFit="1" customWidth="1"/>
    <col min="2059" max="2059" width="60.81640625" style="93" bestFit="1" customWidth="1"/>
    <col min="2060" max="2306" width="8.7265625" style="93"/>
    <col min="2307" max="2307" width="24" style="93" bestFit="1" customWidth="1"/>
    <col min="2308" max="2308" width="18.26953125" style="93" customWidth="1"/>
    <col min="2309" max="2309" width="7.54296875" style="93" customWidth="1"/>
    <col min="2310" max="2310" width="15.7265625" style="93" customWidth="1"/>
    <col min="2311" max="2311" width="16.26953125" style="93" customWidth="1"/>
    <col min="2312" max="2312" width="14.54296875" style="93" bestFit="1" customWidth="1"/>
    <col min="2313" max="2313" width="13.81640625" style="93" bestFit="1" customWidth="1"/>
    <col min="2314" max="2314" width="85" style="93" bestFit="1" customWidth="1"/>
    <col min="2315" max="2315" width="60.81640625" style="93" bestFit="1" customWidth="1"/>
    <col min="2316" max="2562" width="8.7265625" style="93"/>
    <col min="2563" max="2563" width="24" style="93" bestFit="1" customWidth="1"/>
    <col min="2564" max="2564" width="18.26953125" style="93" customWidth="1"/>
    <col min="2565" max="2565" width="7.54296875" style="93" customWidth="1"/>
    <col min="2566" max="2566" width="15.7265625" style="93" customWidth="1"/>
    <col min="2567" max="2567" width="16.26953125" style="93" customWidth="1"/>
    <col min="2568" max="2568" width="14.54296875" style="93" bestFit="1" customWidth="1"/>
    <col min="2569" max="2569" width="13.81640625" style="93" bestFit="1" customWidth="1"/>
    <col min="2570" max="2570" width="85" style="93" bestFit="1" customWidth="1"/>
    <col min="2571" max="2571" width="60.81640625" style="93" bestFit="1" customWidth="1"/>
    <col min="2572" max="2818" width="8.7265625" style="93"/>
    <col min="2819" max="2819" width="24" style="93" bestFit="1" customWidth="1"/>
    <col min="2820" max="2820" width="18.26953125" style="93" customWidth="1"/>
    <col min="2821" max="2821" width="7.54296875" style="93" customWidth="1"/>
    <col min="2822" max="2822" width="15.7265625" style="93" customWidth="1"/>
    <col min="2823" max="2823" width="16.26953125" style="93" customWidth="1"/>
    <col min="2824" max="2824" width="14.54296875" style="93" bestFit="1" customWidth="1"/>
    <col min="2825" max="2825" width="13.81640625" style="93" bestFit="1" customWidth="1"/>
    <col min="2826" max="2826" width="85" style="93" bestFit="1" customWidth="1"/>
    <col min="2827" max="2827" width="60.81640625" style="93" bestFit="1" customWidth="1"/>
    <col min="2828" max="3074" width="8.7265625" style="93"/>
    <col min="3075" max="3075" width="24" style="93" bestFit="1" customWidth="1"/>
    <col min="3076" max="3076" width="18.26953125" style="93" customWidth="1"/>
    <col min="3077" max="3077" width="7.54296875" style="93" customWidth="1"/>
    <col min="3078" max="3078" width="15.7265625" style="93" customWidth="1"/>
    <col min="3079" max="3079" width="16.26953125" style="93" customWidth="1"/>
    <col min="3080" max="3080" width="14.54296875" style="93" bestFit="1" customWidth="1"/>
    <col min="3081" max="3081" width="13.81640625" style="93" bestFit="1" customWidth="1"/>
    <col min="3082" max="3082" width="85" style="93" bestFit="1" customWidth="1"/>
    <col min="3083" max="3083" width="60.81640625" style="93" bestFit="1" customWidth="1"/>
    <col min="3084" max="3330" width="8.7265625" style="93"/>
    <col min="3331" max="3331" width="24" style="93" bestFit="1" customWidth="1"/>
    <col min="3332" max="3332" width="18.26953125" style="93" customWidth="1"/>
    <col min="3333" max="3333" width="7.54296875" style="93" customWidth="1"/>
    <col min="3334" max="3334" width="15.7265625" style="93" customWidth="1"/>
    <col min="3335" max="3335" width="16.26953125" style="93" customWidth="1"/>
    <col min="3336" max="3336" width="14.54296875" style="93" bestFit="1" customWidth="1"/>
    <col min="3337" max="3337" width="13.81640625" style="93" bestFit="1" customWidth="1"/>
    <col min="3338" max="3338" width="85" style="93" bestFit="1" customWidth="1"/>
    <col min="3339" max="3339" width="60.81640625" style="93" bestFit="1" customWidth="1"/>
    <col min="3340" max="3586" width="8.7265625" style="93"/>
    <col min="3587" max="3587" width="24" style="93" bestFit="1" customWidth="1"/>
    <col min="3588" max="3588" width="18.26953125" style="93" customWidth="1"/>
    <col min="3589" max="3589" width="7.54296875" style="93" customWidth="1"/>
    <col min="3590" max="3590" width="15.7265625" style="93" customWidth="1"/>
    <col min="3591" max="3591" width="16.26953125" style="93" customWidth="1"/>
    <col min="3592" max="3592" width="14.54296875" style="93" bestFit="1" customWidth="1"/>
    <col min="3593" max="3593" width="13.81640625" style="93" bestFit="1" customWidth="1"/>
    <col min="3594" max="3594" width="85" style="93" bestFit="1" customWidth="1"/>
    <col min="3595" max="3595" width="60.81640625" style="93" bestFit="1" customWidth="1"/>
    <col min="3596" max="3842" width="8.7265625" style="93"/>
    <col min="3843" max="3843" width="24" style="93" bestFit="1" customWidth="1"/>
    <col min="3844" max="3844" width="18.26953125" style="93" customWidth="1"/>
    <col min="3845" max="3845" width="7.54296875" style="93" customWidth="1"/>
    <col min="3846" max="3846" width="15.7265625" style="93" customWidth="1"/>
    <col min="3847" max="3847" width="16.26953125" style="93" customWidth="1"/>
    <col min="3848" max="3848" width="14.54296875" style="93" bestFit="1" customWidth="1"/>
    <col min="3849" max="3849" width="13.81640625" style="93" bestFit="1" customWidth="1"/>
    <col min="3850" max="3850" width="85" style="93" bestFit="1" customWidth="1"/>
    <col min="3851" max="3851" width="60.81640625" style="93" bestFit="1" customWidth="1"/>
    <col min="3852" max="4098" width="8.7265625" style="93"/>
    <col min="4099" max="4099" width="24" style="93" bestFit="1" customWidth="1"/>
    <col min="4100" max="4100" width="18.26953125" style="93" customWidth="1"/>
    <col min="4101" max="4101" width="7.54296875" style="93" customWidth="1"/>
    <col min="4102" max="4102" width="15.7265625" style="93" customWidth="1"/>
    <col min="4103" max="4103" width="16.26953125" style="93" customWidth="1"/>
    <col min="4104" max="4104" width="14.54296875" style="93" bestFit="1" customWidth="1"/>
    <col min="4105" max="4105" width="13.81640625" style="93" bestFit="1" customWidth="1"/>
    <col min="4106" max="4106" width="85" style="93" bestFit="1" customWidth="1"/>
    <col min="4107" max="4107" width="60.81640625" style="93" bestFit="1" customWidth="1"/>
    <col min="4108" max="4354" width="8.7265625" style="93"/>
    <col min="4355" max="4355" width="24" style="93" bestFit="1" customWidth="1"/>
    <col min="4356" max="4356" width="18.26953125" style="93" customWidth="1"/>
    <col min="4357" max="4357" width="7.54296875" style="93" customWidth="1"/>
    <col min="4358" max="4358" width="15.7265625" style="93" customWidth="1"/>
    <col min="4359" max="4359" width="16.26953125" style="93" customWidth="1"/>
    <col min="4360" max="4360" width="14.54296875" style="93" bestFit="1" customWidth="1"/>
    <col min="4361" max="4361" width="13.81640625" style="93" bestFit="1" customWidth="1"/>
    <col min="4362" max="4362" width="85" style="93" bestFit="1" customWidth="1"/>
    <col min="4363" max="4363" width="60.81640625" style="93" bestFit="1" customWidth="1"/>
    <col min="4364" max="4610" width="8.7265625" style="93"/>
    <col min="4611" max="4611" width="24" style="93" bestFit="1" customWidth="1"/>
    <col min="4612" max="4612" width="18.26953125" style="93" customWidth="1"/>
    <col min="4613" max="4613" width="7.54296875" style="93" customWidth="1"/>
    <col min="4614" max="4614" width="15.7265625" style="93" customWidth="1"/>
    <col min="4615" max="4615" width="16.26953125" style="93" customWidth="1"/>
    <col min="4616" max="4616" width="14.54296875" style="93" bestFit="1" customWidth="1"/>
    <col min="4617" max="4617" width="13.81640625" style="93" bestFit="1" customWidth="1"/>
    <col min="4618" max="4618" width="85" style="93" bestFit="1" customWidth="1"/>
    <col min="4619" max="4619" width="60.81640625" style="93" bestFit="1" customWidth="1"/>
    <col min="4620" max="4866" width="8.7265625" style="93"/>
    <col min="4867" max="4867" width="24" style="93" bestFit="1" customWidth="1"/>
    <col min="4868" max="4868" width="18.26953125" style="93" customWidth="1"/>
    <col min="4869" max="4869" width="7.54296875" style="93" customWidth="1"/>
    <col min="4870" max="4870" width="15.7265625" style="93" customWidth="1"/>
    <col min="4871" max="4871" width="16.26953125" style="93" customWidth="1"/>
    <col min="4872" max="4872" width="14.54296875" style="93" bestFit="1" customWidth="1"/>
    <col min="4873" max="4873" width="13.81640625" style="93" bestFit="1" customWidth="1"/>
    <col min="4874" max="4874" width="85" style="93" bestFit="1" customWidth="1"/>
    <col min="4875" max="4875" width="60.81640625" style="93" bestFit="1" customWidth="1"/>
    <col min="4876" max="5122" width="8.7265625" style="93"/>
    <col min="5123" max="5123" width="24" style="93" bestFit="1" customWidth="1"/>
    <col min="5124" max="5124" width="18.26953125" style="93" customWidth="1"/>
    <col min="5125" max="5125" width="7.54296875" style="93" customWidth="1"/>
    <col min="5126" max="5126" width="15.7265625" style="93" customWidth="1"/>
    <col min="5127" max="5127" width="16.26953125" style="93" customWidth="1"/>
    <col min="5128" max="5128" width="14.54296875" style="93" bestFit="1" customWidth="1"/>
    <col min="5129" max="5129" width="13.81640625" style="93" bestFit="1" customWidth="1"/>
    <col min="5130" max="5130" width="85" style="93" bestFit="1" customWidth="1"/>
    <col min="5131" max="5131" width="60.81640625" style="93" bestFit="1" customWidth="1"/>
    <col min="5132" max="5378" width="8.7265625" style="93"/>
    <col min="5379" max="5379" width="24" style="93" bestFit="1" customWidth="1"/>
    <col min="5380" max="5380" width="18.26953125" style="93" customWidth="1"/>
    <col min="5381" max="5381" width="7.54296875" style="93" customWidth="1"/>
    <col min="5382" max="5382" width="15.7265625" style="93" customWidth="1"/>
    <col min="5383" max="5383" width="16.26953125" style="93" customWidth="1"/>
    <col min="5384" max="5384" width="14.54296875" style="93" bestFit="1" customWidth="1"/>
    <col min="5385" max="5385" width="13.81640625" style="93" bestFit="1" customWidth="1"/>
    <col min="5386" max="5386" width="85" style="93" bestFit="1" customWidth="1"/>
    <col min="5387" max="5387" width="60.81640625" style="93" bestFit="1" customWidth="1"/>
    <col min="5388" max="5634" width="8.7265625" style="93"/>
    <col min="5635" max="5635" width="24" style="93" bestFit="1" customWidth="1"/>
    <col min="5636" max="5636" width="18.26953125" style="93" customWidth="1"/>
    <col min="5637" max="5637" width="7.54296875" style="93" customWidth="1"/>
    <col min="5638" max="5638" width="15.7265625" style="93" customWidth="1"/>
    <col min="5639" max="5639" width="16.26953125" style="93" customWidth="1"/>
    <col min="5640" max="5640" width="14.54296875" style="93" bestFit="1" customWidth="1"/>
    <col min="5641" max="5641" width="13.81640625" style="93" bestFit="1" customWidth="1"/>
    <col min="5642" max="5642" width="85" style="93" bestFit="1" customWidth="1"/>
    <col min="5643" max="5643" width="60.81640625" style="93" bestFit="1" customWidth="1"/>
    <col min="5644" max="5890" width="8.7265625" style="93"/>
    <col min="5891" max="5891" width="24" style="93" bestFit="1" customWidth="1"/>
    <col min="5892" max="5892" width="18.26953125" style="93" customWidth="1"/>
    <col min="5893" max="5893" width="7.54296875" style="93" customWidth="1"/>
    <col min="5894" max="5894" width="15.7265625" style="93" customWidth="1"/>
    <col min="5895" max="5895" width="16.26953125" style="93" customWidth="1"/>
    <col min="5896" max="5896" width="14.54296875" style="93" bestFit="1" customWidth="1"/>
    <col min="5897" max="5897" width="13.81640625" style="93" bestFit="1" customWidth="1"/>
    <col min="5898" max="5898" width="85" style="93" bestFit="1" customWidth="1"/>
    <col min="5899" max="5899" width="60.81640625" style="93" bestFit="1" customWidth="1"/>
    <col min="5900" max="6146" width="8.7265625" style="93"/>
    <col min="6147" max="6147" width="24" style="93" bestFit="1" customWidth="1"/>
    <col min="6148" max="6148" width="18.26953125" style="93" customWidth="1"/>
    <col min="6149" max="6149" width="7.54296875" style="93" customWidth="1"/>
    <col min="6150" max="6150" width="15.7265625" style="93" customWidth="1"/>
    <col min="6151" max="6151" width="16.26953125" style="93" customWidth="1"/>
    <col min="6152" max="6152" width="14.54296875" style="93" bestFit="1" customWidth="1"/>
    <col min="6153" max="6153" width="13.81640625" style="93" bestFit="1" customWidth="1"/>
    <col min="6154" max="6154" width="85" style="93" bestFit="1" customWidth="1"/>
    <col min="6155" max="6155" width="60.81640625" style="93" bestFit="1" customWidth="1"/>
    <col min="6156" max="6402" width="8.7265625" style="93"/>
    <col min="6403" max="6403" width="24" style="93" bestFit="1" customWidth="1"/>
    <col min="6404" max="6404" width="18.26953125" style="93" customWidth="1"/>
    <col min="6405" max="6405" width="7.54296875" style="93" customWidth="1"/>
    <col min="6406" max="6406" width="15.7265625" style="93" customWidth="1"/>
    <col min="6407" max="6407" width="16.26953125" style="93" customWidth="1"/>
    <col min="6408" max="6408" width="14.54296875" style="93" bestFit="1" customWidth="1"/>
    <col min="6409" max="6409" width="13.81640625" style="93" bestFit="1" customWidth="1"/>
    <col min="6410" max="6410" width="85" style="93" bestFit="1" customWidth="1"/>
    <col min="6411" max="6411" width="60.81640625" style="93" bestFit="1" customWidth="1"/>
    <col min="6412" max="6658" width="8.7265625" style="93"/>
    <col min="6659" max="6659" width="24" style="93" bestFit="1" customWidth="1"/>
    <col min="6660" max="6660" width="18.26953125" style="93" customWidth="1"/>
    <col min="6661" max="6661" width="7.54296875" style="93" customWidth="1"/>
    <col min="6662" max="6662" width="15.7265625" style="93" customWidth="1"/>
    <col min="6663" max="6663" width="16.26953125" style="93" customWidth="1"/>
    <col min="6664" max="6664" width="14.54296875" style="93" bestFit="1" customWidth="1"/>
    <col min="6665" max="6665" width="13.81640625" style="93" bestFit="1" customWidth="1"/>
    <col min="6666" max="6666" width="85" style="93" bestFit="1" customWidth="1"/>
    <col min="6667" max="6667" width="60.81640625" style="93" bestFit="1" customWidth="1"/>
    <col min="6668" max="6914" width="8.7265625" style="93"/>
    <col min="6915" max="6915" width="24" style="93" bestFit="1" customWidth="1"/>
    <col min="6916" max="6916" width="18.26953125" style="93" customWidth="1"/>
    <col min="6917" max="6917" width="7.54296875" style="93" customWidth="1"/>
    <col min="6918" max="6918" width="15.7265625" style="93" customWidth="1"/>
    <col min="6919" max="6919" width="16.26953125" style="93" customWidth="1"/>
    <col min="6920" max="6920" width="14.54296875" style="93" bestFit="1" customWidth="1"/>
    <col min="6921" max="6921" width="13.81640625" style="93" bestFit="1" customWidth="1"/>
    <col min="6922" max="6922" width="85" style="93" bestFit="1" customWidth="1"/>
    <col min="6923" max="6923" width="60.81640625" style="93" bestFit="1" customWidth="1"/>
    <col min="6924" max="7170" width="8.7265625" style="93"/>
    <col min="7171" max="7171" width="24" style="93" bestFit="1" customWidth="1"/>
    <col min="7172" max="7172" width="18.26953125" style="93" customWidth="1"/>
    <col min="7173" max="7173" width="7.54296875" style="93" customWidth="1"/>
    <col min="7174" max="7174" width="15.7265625" style="93" customWidth="1"/>
    <col min="7175" max="7175" width="16.26953125" style="93" customWidth="1"/>
    <col min="7176" max="7176" width="14.54296875" style="93" bestFit="1" customWidth="1"/>
    <col min="7177" max="7177" width="13.81640625" style="93" bestFit="1" customWidth="1"/>
    <col min="7178" max="7178" width="85" style="93" bestFit="1" customWidth="1"/>
    <col min="7179" max="7179" width="60.81640625" style="93" bestFit="1" customWidth="1"/>
    <col min="7180" max="7426" width="8.7265625" style="93"/>
    <col min="7427" max="7427" width="24" style="93" bestFit="1" customWidth="1"/>
    <col min="7428" max="7428" width="18.26953125" style="93" customWidth="1"/>
    <col min="7429" max="7429" width="7.54296875" style="93" customWidth="1"/>
    <col min="7430" max="7430" width="15.7265625" style="93" customWidth="1"/>
    <col min="7431" max="7431" width="16.26953125" style="93" customWidth="1"/>
    <col min="7432" max="7432" width="14.54296875" style="93" bestFit="1" customWidth="1"/>
    <col min="7433" max="7433" width="13.81640625" style="93" bestFit="1" customWidth="1"/>
    <col min="7434" max="7434" width="85" style="93" bestFit="1" customWidth="1"/>
    <col min="7435" max="7435" width="60.81640625" style="93" bestFit="1" customWidth="1"/>
    <col min="7436" max="7682" width="8.7265625" style="93"/>
    <col min="7683" max="7683" width="24" style="93" bestFit="1" customWidth="1"/>
    <col min="7684" max="7684" width="18.26953125" style="93" customWidth="1"/>
    <col min="7685" max="7685" width="7.54296875" style="93" customWidth="1"/>
    <col min="7686" max="7686" width="15.7265625" style="93" customWidth="1"/>
    <col min="7687" max="7687" width="16.26953125" style="93" customWidth="1"/>
    <col min="7688" max="7688" width="14.54296875" style="93" bestFit="1" customWidth="1"/>
    <col min="7689" max="7689" width="13.81640625" style="93" bestFit="1" customWidth="1"/>
    <col min="7690" max="7690" width="85" style="93" bestFit="1" customWidth="1"/>
    <col min="7691" max="7691" width="60.81640625" style="93" bestFit="1" customWidth="1"/>
    <col min="7692" max="7938" width="8.7265625" style="93"/>
    <col min="7939" max="7939" width="24" style="93" bestFit="1" customWidth="1"/>
    <col min="7940" max="7940" width="18.26953125" style="93" customWidth="1"/>
    <col min="7941" max="7941" width="7.54296875" style="93" customWidth="1"/>
    <col min="7942" max="7942" width="15.7265625" style="93" customWidth="1"/>
    <col min="7943" max="7943" width="16.26953125" style="93" customWidth="1"/>
    <col min="7944" max="7944" width="14.54296875" style="93" bestFit="1" customWidth="1"/>
    <col min="7945" max="7945" width="13.81640625" style="93" bestFit="1" customWidth="1"/>
    <col min="7946" max="7946" width="85" style="93" bestFit="1" customWidth="1"/>
    <col min="7947" max="7947" width="60.81640625" style="93" bestFit="1" customWidth="1"/>
    <col min="7948" max="8194" width="8.7265625" style="93"/>
    <col min="8195" max="8195" width="24" style="93" bestFit="1" customWidth="1"/>
    <col min="8196" max="8196" width="18.26953125" style="93" customWidth="1"/>
    <col min="8197" max="8197" width="7.54296875" style="93" customWidth="1"/>
    <col min="8198" max="8198" width="15.7265625" style="93" customWidth="1"/>
    <col min="8199" max="8199" width="16.26953125" style="93" customWidth="1"/>
    <col min="8200" max="8200" width="14.54296875" style="93" bestFit="1" customWidth="1"/>
    <col min="8201" max="8201" width="13.81640625" style="93" bestFit="1" customWidth="1"/>
    <col min="8202" max="8202" width="85" style="93" bestFit="1" customWidth="1"/>
    <col min="8203" max="8203" width="60.81640625" style="93" bestFit="1" customWidth="1"/>
    <col min="8204" max="8450" width="8.7265625" style="93"/>
    <col min="8451" max="8451" width="24" style="93" bestFit="1" customWidth="1"/>
    <col min="8452" max="8452" width="18.26953125" style="93" customWidth="1"/>
    <col min="8453" max="8453" width="7.54296875" style="93" customWidth="1"/>
    <col min="8454" max="8454" width="15.7265625" style="93" customWidth="1"/>
    <col min="8455" max="8455" width="16.26953125" style="93" customWidth="1"/>
    <col min="8456" max="8456" width="14.54296875" style="93" bestFit="1" customWidth="1"/>
    <col min="8457" max="8457" width="13.81640625" style="93" bestFit="1" customWidth="1"/>
    <col min="8458" max="8458" width="85" style="93" bestFit="1" customWidth="1"/>
    <col min="8459" max="8459" width="60.81640625" style="93" bestFit="1" customWidth="1"/>
    <col min="8460" max="8706" width="8.7265625" style="93"/>
    <col min="8707" max="8707" width="24" style="93" bestFit="1" customWidth="1"/>
    <col min="8708" max="8708" width="18.26953125" style="93" customWidth="1"/>
    <col min="8709" max="8709" width="7.54296875" style="93" customWidth="1"/>
    <col min="8710" max="8710" width="15.7265625" style="93" customWidth="1"/>
    <col min="8711" max="8711" width="16.26953125" style="93" customWidth="1"/>
    <col min="8712" max="8712" width="14.54296875" style="93" bestFit="1" customWidth="1"/>
    <col min="8713" max="8713" width="13.81640625" style="93" bestFit="1" customWidth="1"/>
    <col min="8714" max="8714" width="85" style="93" bestFit="1" customWidth="1"/>
    <col min="8715" max="8715" width="60.81640625" style="93" bestFit="1" customWidth="1"/>
    <col min="8716" max="8962" width="8.7265625" style="93"/>
    <col min="8963" max="8963" width="24" style="93" bestFit="1" customWidth="1"/>
    <col min="8964" max="8964" width="18.26953125" style="93" customWidth="1"/>
    <col min="8965" max="8965" width="7.54296875" style="93" customWidth="1"/>
    <col min="8966" max="8966" width="15.7265625" style="93" customWidth="1"/>
    <col min="8967" max="8967" width="16.26953125" style="93" customWidth="1"/>
    <col min="8968" max="8968" width="14.54296875" style="93" bestFit="1" customWidth="1"/>
    <col min="8969" max="8969" width="13.81640625" style="93" bestFit="1" customWidth="1"/>
    <col min="8970" max="8970" width="85" style="93" bestFit="1" customWidth="1"/>
    <col min="8971" max="8971" width="60.81640625" style="93" bestFit="1" customWidth="1"/>
    <col min="8972" max="9218" width="8.7265625" style="93"/>
    <col min="9219" max="9219" width="24" style="93" bestFit="1" customWidth="1"/>
    <col min="9220" max="9220" width="18.26953125" style="93" customWidth="1"/>
    <col min="9221" max="9221" width="7.54296875" style="93" customWidth="1"/>
    <col min="9222" max="9222" width="15.7265625" style="93" customWidth="1"/>
    <col min="9223" max="9223" width="16.26953125" style="93" customWidth="1"/>
    <col min="9224" max="9224" width="14.54296875" style="93" bestFit="1" customWidth="1"/>
    <col min="9225" max="9225" width="13.81640625" style="93" bestFit="1" customWidth="1"/>
    <col min="9226" max="9226" width="85" style="93" bestFit="1" customWidth="1"/>
    <col min="9227" max="9227" width="60.81640625" style="93" bestFit="1" customWidth="1"/>
    <col min="9228" max="9474" width="8.7265625" style="93"/>
    <col min="9475" max="9475" width="24" style="93" bestFit="1" customWidth="1"/>
    <col min="9476" max="9476" width="18.26953125" style="93" customWidth="1"/>
    <col min="9477" max="9477" width="7.54296875" style="93" customWidth="1"/>
    <col min="9478" max="9478" width="15.7265625" style="93" customWidth="1"/>
    <col min="9479" max="9479" width="16.26953125" style="93" customWidth="1"/>
    <col min="9480" max="9480" width="14.54296875" style="93" bestFit="1" customWidth="1"/>
    <col min="9481" max="9481" width="13.81640625" style="93" bestFit="1" customWidth="1"/>
    <col min="9482" max="9482" width="85" style="93" bestFit="1" customWidth="1"/>
    <col min="9483" max="9483" width="60.81640625" style="93" bestFit="1" customWidth="1"/>
    <col min="9484" max="9730" width="8.7265625" style="93"/>
    <col min="9731" max="9731" width="24" style="93" bestFit="1" customWidth="1"/>
    <col min="9732" max="9732" width="18.26953125" style="93" customWidth="1"/>
    <col min="9733" max="9733" width="7.54296875" style="93" customWidth="1"/>
    <col min="9734" max="9734" width="15.7265625" style="93" customWidth="1"/>
    <col min="9735" max="9735" width="16.26953125" style="93" customWidth="1"/>
    <col min="9736" max="9736" width="14.54296875" style="93" bestFit="1" customWidth="1"/>
    <col min="9737" max="9737" width="13.81640625" style="93" bestFit="1" customWidth="1"/>
    <col min="9738" max="9738" width="85" style="93" bestFit="1" customWidth="1"/>
    <col min="9739" max="9739" width="60.81640625" style="93" bestFit="1" customWidth="1"/>
    <col min="9740" max="9986" width="8.7265625" style="93"/>
    <col min="9987" max="9987" width="24" style="93" bestFit="1" customWidth="1"/>
    <col min="9988" max="9988" width="18.26953125" style="93" customWidth="1"/>
    <col min="9989" max="9989" width="7.54296875" style="93" customWidth="1"/>
    <col min="9990" max="9990" width="15.7265625" style="93" customWidth="1"/>
    <col min="9991" max="9991" width="16.26953125" style="93" customWidth="1"/>
    <col min="9992" max="9992" width="14.54296875" style="93" bestFit="1" customWidth="1"/>
    <col min="9993" max="9993" width="13.81640625" style="93" bestFit="1" customWidth="1"/>
    <col min="9994" max="9994" width="85" style="93" bestFit="1" customWidth="1"/>
    <col min="9995" max="9995" width="60.81640625" style="93" bestFit="1" customWidth="1"/>
    <col min="9996" max="10242" width="8.7265625" style="93"/>
    <col min="10243" max="10243" width="24" style="93" bestFit="1" customWidth="1"/>
    <col min="10244" max="10244" width="18.26953125" style="93" customWidth="1"/>
    <col min="10245" max="10245" width="7.54296875" style="93" customWidth="1"/>
    <col min="10246" max="10246" width="15.7265625" style="93" customWidth="1"/>
    <col min="10247" max="10247" width="16.26953125" style="93" customWidth="1"/>
    <col min="10248" max="10248" width="14.54296875" style="93" bestFit="1" customWidth="1"/>
    <col min="10249" max="10249" width="13.81640625" style="93" bestFit="1" customWidth="1"/>
    <col min="10250" max="10250" width="85" style="93" bestFit="1" customWidth="1"/>
    <col min="10251" max="10251" width="60.81640625" style="93" bestFit="1" customWidth="1"/>
    <col min="10252" max="10498" width="8.7265625" style="93"/>
    <col min="10499" max="10499" width="24" style="93" bestFit="1" customWidth="1"/>
    <col min="10500" max="10500" width="18.26953125" style="93" customWidth="1"/>
    <col min="10501" max="10501" width="7.54296875" style="93" customWidth="1"/>
    <col min="10502" max="10502" width="15.7265625" style="93" customWidth="1"/>
    <col min="10503" max="10503" width="16.26953125" style="93" customWidth="1"/>
    <col min="10504" max="10504" width="14.54296875" style="93" bestFit="1" customWidth="1"/>
    <col min="10505" max="10505" width="13.81640625" style="93" bestFit="1" customWidth="1"/>
    <col min="10506" max="10506" width="85" style="93" bestFit="1" customWidth="1"/>
    <col min="10507" max="10507" width="60.81640625" style="93" bestFit="1" customWidth="1"/>
    <col min="10508" max="10754" width="8.7265625" style="93"/>
    <col min="10755" max="10755" width="24" style="93" bestFit="1" customWidth="1"/>
    <col min="10756" max="10756" width="18.26953125" style="93" customWidth="1"/>
    <col min="10757" max="10757" width="7.54296875" style="93" customWidth="1"/>
    <col min="10758" max="10758" width="15.7265625" style="93" customWidth="1"/>
    <col min="10759" max="10759" width="16.26953125" style="93" customWidth="1"/>
    <col min="10760" max="10760" width="14.54296875" style="93" bestFit="1" customWidth="1"/>
    <col min="10761" max="10761" width="13.81640625" style="93" bestFit="1" customWidth="1"/>
    <col min="10762" max="10762" width="85" style="93" bestFit="1" customWidth="1"/>
    <col min="10763" max="10763" width="60.81640625" style="93" bestFit="1" customWidth="1"/>
    <col min="10764" max="11010" width="8.7265625" style="93"/>
    <col min="11011" max="11011" width="24" style="93" bestFit="1" customWidth="1"/>
    <col min="11012" max="11012" width="18.26953125" style="93" customWidth="1"/>
    <col min="11013" max="11013" width="7.54296875" style="93" customWidth="1"/>
    <col min="11014" max="11014" width="15.7265625" style="93" customWidth="1"/>
    <col min="11015" max="11015" width="16.26953125" style="93" customWidth="1"/>
    <col min="11016" max="11016" width="14.54296875" style="93" bestFit="1" customWidth="1"/>
    <col min="11017" max="11017" width="13.81640625" style="93" bestFit="1" customWidth="1"/>
    <col min="11018" max="11018" width="85" style="93" bestFit="1" customWidth="1"/>
    <col min="11019" max="11019" width="60.81640625" style="93" bestFit="1" customWidth="1"/>
    <col min="11020" max="11266" width="8.7265625" style="93"/>
    <col min="11267" max="11267" width="24" style="93" bestFit="1" customWidth="1"/>
    <col min="11268" max="11268" width="18.26953125" style="93" customWidth="1"/>
    <col min="11269" max="11269" width="7.54296875" style="93" customWidth="1"/>
    <col min="11270" max="11270" width="15.7265625" style="93" customWidth="1"/>
    <col min="11271" max="11271" width="16.26953125" style="93" customWidth="1"/>
    <col min="11272" max="11272" width="14.54296875" style="93" bestFit="1" customWidth="1"/>
    <col min="11273" max="11273" width="13.81640625" style="93" bestFit="1" customWidth="1"/>
    <col min="11274" max="11274" width="85" style="93" bestFit="1" customWidth="1"/>
    <col min="11275" max="11275" width="60.81640625" style="93" bestFit="1" customWidth="1"/>
    <col min="11276" max="11522" width="8.7265625" style="93"/>
    <col min="11523" max="11523" width="24" style="93" bestFit="1" customWidth="1"/>
    <col min="11524" max="11524" width="18.26953125" style="93" customWidth="1"/>
    <col min="11525" max="11525" width="7.54296875" style="93" customWidth="1"/>
    <col min="11526" max="11526" width="15.7265625" style="93" customWidth="1"/>
    <col min="11527" max="11527" width="16.26953125" style="93" customWidth="1"/>
    <col min="11528" max="11528" width="14.54296875" style="93" bestFit="1" customWidth="1"/>
    <col min="11529" max="11529" width="13.81640625" style="93" bestFit="1" customWidth="1"/>
    <col min="11530" max="11530" width="85" style="93" bestFit="1" customWidth="1"/>
    <col min="11531" max="11531" width="60.81640625" style="93" bestFit="1" customWidth="1"/>
    <col min="11532" max="11778" width="8.7265625" style="93"/>
    <col min="11779" max="11779" width="24" style="93" bestFit="1" customWidth="1"/>
    <col min="11780" max="11780" width="18.26953125" style="93" customWidth="1"/>
    <col min="11781" max="11781" width="7.54296875" style="93" customWidth="1"/>
    <col min="11782" max="11782" width="15.7265625" style="93" customWidth="1"/>
    <col min="11783" max="11783" width="16.26953125" style="93" customWidth="1"/>
    <col min="11784" max="11784" width="14.54296875" style="93" bestFit="1" customWidth="1"/>
    <col min="11785" max="11785" width="13.81640625" style="93" bestFit="1" customWidth="1"/>
    <col min="11786" max="11786" width="85" style="93" bestFit="1" customWidth="1"/>
    <col min="11787" max="11787" width="60.81640625" style="93" bestFit="1" customWidth="1"/>
    <col min="11788" max="12034" width="8.7265625" style="93"/>
    <col min="12035" max="12035" width="24" style="93" bestFit="1" customWidth="1"/>
    <col min="12036" max="12036" width="18.26953125" style="93" customWidth="1"/>
    <col min="12037" max="12037" width="7.54296875" style="93" customWidth="1"/>
    <col min="12038" max="12038" width="15.7265625" style="93" customWidth="1"/>
    <col min="12039" max="12039" width="16.26953125" style="93" customWidth="1"/>
    <col min="12040" max="12040" width="14.54296875" style="93" bestFit="1" customWidth="1"/>
    <col min="12041" max="12041" width="13.81640625" style="93" bestFit="1" customWidth="1"/>
    <col min="12042" max="12042" width="85" style="93" bestFit="1" customWidth="1"/>
    <col min="12043" max="12043" width="60.81640625" style="93" bestFit="1" customWidth="1"/>
    <col min="12044" max="12290" width="8.7265625" style="93"/>
    <col min="12291" max="12291" width="24" style="93" bestFit="1" customWidth="1"/>
    <col min="12292" max="12292" width="18.26953125" style="93" customWidth="1"/>
    <col min="12293" max="12293" width="7.54296875" style="93" customWidth="1"/>
    <col min="12294" max="12294" width="15.7265625" style="93" customWidth="1"/>
    <col min="12295" max="12295" width="16.26953125" style="93" customWidth="1"/>
    <col min="12296" max="12296" width="14.54296875" style="93" bestFit="1" customWidth="1"/>
    <col min="12297" max="12297" width="13.81640625" style="93" bestFit="1" customWidth="1"/>
    <col min="12298" max="12298" width="85" style="93" bestFit="1" customWidth="1"/>
    <col min="12299" max="12299" width="60.81640625" style="93" bestFit="1" customWidth="1"/>
    <col min="12300" max="12546" width="8.7265625" style="93"/>
    <col min="12547" max="12547" width="24" style="93" bestFit="1" customWidth="1"/>
    <col min="12548" max="12548" width="18.26953125" style="93" customWidth="1"/>
    <col min="12549" max="12549" width="7.54296875" style="93" customWidth="1"/>
    <col min="12550" max="12550" width="15.7265625" style="93" customWidth="1"/>
    <col min="12551" max="12551" width="16.26953125" style="93" customWidth="1"/>
    <col min="12552" max="12552" width="14.54296875" style="93" bestFit="1" customWidth="1"/>
    <col min="12553" max="12553" width="13.81640625" style="93" bestFit="1" customWidth="1"/>
    <col min="12554" max="12554" width="85" style="93" bestFit="1" customWidth="1"/>
    <col min="12555" max="12555" width="60.81640625" style="93" bestFit="1" customWidth="1"/>
    <col min="12556" max="12802" width="8.7265625" style="93"/>
    <col min="12803" max="12803" width="24" style="93" bestFit="1" customWidth="1"/>
    <col min="12804" max="12804" width="18.26953125" style="93" customWidth="1"/>
    <col min="12805" max="12805" width="7.54296875" style="93" customWidth="1"/>
    <col min="12806" max="12806" width="15.7265625" style="93" customWidth="1"/>
    <col min="12807" max="12807" width="16.26953125" style="93" customWidth="1"/>
    <col min="12808" max="12808" width="14.54296875" style="93" bestFit="1" customWidth="1"/>
    <col min="12809" max="12809" width="13.81640625" style="93" bestFit="1" customWidth="1"/>
    <col min="12810" max="12810" width="85" style="93" bestFit="1" customWidth="1"/>
    <col min="12811" max="12811" width="60.81640625" style="93" bestFit="1" customWidth="1"/>
    <col min="12812" max="13058" width="8.7265625" style="93"/>
    <col min="13059" max="13059" width="24" style="93" bestFit="1" customWidth="1"/>
    <col min="13060" max="13060" width="18.26953125" style="93" customWidth="1"/>
    <col min="13061" max="13061" width="7.54296875" style="93" customWidth="1"/>
    <col min="13062" max="13062" width="15.7265625" style="93" customWidth="1"/>
    <col min="13063" max="13063" width="16.26953125" style="93" customWidth="1"/>
    <col min="13064" max="13064" width="14.54296875" style="93" bestFit="1" customWidth="1"/>
    <col min="13065" max="13065" width="13.81640625" style="93" bestFit="1" customWidth="1"/>
    <col min="13066" max="13066" width="85" style="93" bestFit="1" customWidth="1"/>
    <col min="13067" max="13067" width="60.81640625" style="93" bestFit="1" customWidth="1"/>
    <col min="13068" max="13314" width="8.7265625" style="93"/>
    <col min="13315" max="13315" width="24" style="93" bestFit="1" customWidth="1"/>
    <col min="13316" max="13316" width="18.26953125" style="93" customWidth="1"/>
    <col min="13317" max="13317" width="7.54296875" style="93" customWidth="1"/>
    <col min="13318" max="13318" width="15.7265625" style="93" customWidth="1"/>
    <col min="13319" max="13319" width="16.26953125" style="93" customWidth="1"/>
    <col min="13320" max="13320" width="14.54296875" style="93" bestFit="1" customWidth="1"/>
    <col min="13321" max="13321" width="13.81640625" style="93" bestFit="1" customWidth="1"/>
    <col min="13322" max="13322" width="85" style="93" bestFit="1" customWidth="1"/>
    <col min="13323" max="13323" width="60.81640625" style="93" bestFit="1" customWidth="1"/>
    <col min="13324" max="13570" width="8.7265625" style="93"/>
    <col min="13571" max="13571" width="24" style="93" bestFit="1" customWidth="1"/>
    <col min="13572" max="13572" width="18.26953125" style="93" customWidth="1"/>
    <col min="13573" max="13573" width="7.54296875" style="93" customWidth="1"/>
    <col min="13574" max="13574" width="15.7265625" style="93" customWidth="1"/>
    <col min="13575" max="13575" width="16.26953125" style="93" customWidth="1"/>
    <col min="13576" max="13576" width="14.54296875" style="93" bestFit="1" customWidth="1"/>
    <col min="13577" max="13577" width="13.81640625" style="93" bestFit="1" customWidth="1"/>
    <col min="13578" max="13578" width="85" style="93" bestFit="1" customWidth="1"/>
    <col min="13579" max="13579" width="60.81640625" style="93" bestFit="1" customWidth="1"/>
    <col min="13580" max="13826" width="8.7265625" style="93"/>
    <col min="13827" max="13827" width="24" style="93" bestFit="1" customWidth="1"/>
    <col min="13828" max="13828" width="18.26953125" style="93" customWidth="1"/>
    <col min="13829" max="13829" width="7.54296875" style="93" customWidth="1"/>
    <col min="13830" max="13830" width="15.7265625" style="93" customWidth="1"/>
    <col min="13831" max="13831" width="16.26953125" style="93" customWidth="1"/>
    <col min="13832" max="13832" width="14.54296875" style="93" bestFit="1" customWidth="1"/>
    <col min="13833" max="13833" width="13.81640625" style="93" bestFit="1" customWidth="1"/>
    <col min="13834" max="13834" width="85" style="93" bestFit="1" customWidth="1"/>
    <col min="13835" max="13835" width="60.81640625" style="93" bestFit="1" customWidth="1"/>
    <col min="13836" max="14082" width="8.7265625" style="93"/>
    <col min="14083" max="14083" width="24" style="93" bestFit="1" customWidth="1"/>
    <col min="14084" max="14084" width="18.26953125" style="93" customWidth="1"/>
    <col min="14085" max="14085" width="7.54296875" style="93" customWidth="1"/>
    <col min="14086" max="14086" width="15.7265625" style="93" customWidth="1"/>
    <col min="14087" max="14087" width="16.26953125" style="93" customWidth="1"/>
    <col min="14088" max="14088" width="14.54296875" style="93" bestFit="1" customWidth="1"/>
    <col min="14089" max="14089" width="13.81640625" style="93" bestFit="1" customWidth="1"/>
    <col min="14090" max="14090" width="85" style="93" bestFit="1" customWidth="1"/>
    <col min="14091" max="14091" width="60.81640625" style="93" bestFit="1" customWidth="1"/>
    <col min="14092" max="14338" width="8.7265625" style="93"/>
    <col min="14339" max="14339" width="24" style="93" bestFit="1" customWidth="1"/>
    <col min="14340" max="14340" width="18.26953125" style="93" customWidth="1"/>
    <col min="14341" max="14341" width="7.54296875" style="93" customWidth="1"/>
    <col min="14342" max="14342" width="15.7265625" style="93" customWidth="1"/>
    <col min="14343" max="14343" width="16.26953125" style="93" customWidth="1"/>
    <col min="14344" max="14344" width="14.54296875" style="93" bestFit="1" customWidth="1"/>
    <col min="14345" max="14345" width="13.81640625" style="93" bestFit="1" customWidth="1"/>
    <col min="14346" max="14346" width="85" style="93" bestFit="1" customWidth="1"/>
    <col min="14347" max="14347" width="60.81640625" style="93" bestFit="1" customWidth="1"/>
    <col min="14348" max="14594" width="8.7265625" style="93"/>
    <col min="14595" max="14595" width="24" style="93" bestFit="1" customWidth="1"/>
    <col min="14596" max="14596" width="18.26953125" style="93" customWidth="1"/>
    <col min="14597" max="14597" width="7.54296875" style="93" customWidth="1"/>
    <col min="14598" max="14598" width="15.7265625" style="93" customWidth="1"/>
    <col min="14599" max="14599" width="16.26953125" style="93" customWidth="1"/>
    <col min="14600" max="14600" width="14.54296875" style="93" bestFit="1" customWidth="1"/>
    <col min="14601" max="14601" width="13.81640625" style="93" bestFit="1" customWidth="1"/>
    <col min="14602" max="14602" width="85" style="93" bestFit="1" customWidth="1"/>
    <col min="14603" max="14603" width="60.81640625" style="93" bestFit="1" customWidth="1"/>
    <col min="14604" max="14850" width="8.7265625" style="93"/>
    <col min="14851" max="14851" width="24" style="93" bestFit="1" customWidth="1"/>
    <col min="14852" max="14852" width="18.26953125" style="93" customWidth="1"/>
    <col min="14853" max="14853" width="7.54296875" style="93" customWidth="1"/>
    <col min="14854" max="14854" width="15.7265625" style="93" customWidth="1"/>
    <col min="14855" max="14855" width="16.26953125" style="93" customWidth="1"/>
    <col min="14856" max="14856" width="14.54296875" style="93" bestFit="1" customWidth="1"/>
    <col min="14857" max="14857" width="13.81640625" style="93" bestFit="1" customWidth="1"/>
    <col min="14858" max="14858" width="85" style="93" bestFit="1" customWidth="1"/>
    <col min="14859" max="14859" width="60.81640625" style="93" bestFit="1" customWidth="1"/>
    <col min="14860" max="15106" width="8.7265625" style="93"/>
    <col min="15107" max="15107" width="24" style="93" bestFit="1" customWidth="1"/>
    <col min="15108" max="15108" width="18.26953125" style="93" customWidth="1"/>
    <col min="15109" max="15109" width="7.54296875" style="93" customWidth="1"/>
    <col min="15110" max="15110" width="15.7265625" style="93" customWidth="1"/>
    <col min="15111" max="15111" width="16.26953125" style="93" customWidth="1"/>
    <col min="15112" max="15112" width="14.54296875" style="93" bestFit="1" customWidth="1"/>
    <col min="15113" max="15113" width="13.81640625" style="93" bestFit="1" customWidth="1"/>
    <col min="15114" max="15114" width="85" style="93" bestFit="1" customWidth="1"/>
    <col min="15115" max="15115" width="60.81640625" style="93" bestFit="1" customWidth="1"/>
    <col min="15116" max="15362" width="8.7265625" style="93"/>
    <col min="15363" max="15363" width="24" style="93" bestFit="1" customWidth="1"/>
    <col min="15364" max="15364" width="18.26953125" style="93" customWidth="1"/>
    <col min="15365" max="15365" width="7.54296875" style="93" customWidth="1"/>
    <col min="15366" max="15366" width="15.7265625" style="93" customWidth="1"/>
    <col min="15367" max="15367" width="16.26953125" style="93" customWidth="1"/>
    <col min="15368" max="15368" width="14.54296875" style="93" bestFit="1" customWidth="1"/>
    <col min="15369" max="15369" width="13.81640625" style="93" bestFit="1" customWidth="1"/>
    <col min="15370" max="15370" width="85" style="93" bestFit="1" customWidth="1"/>
    <col min="15371" max="15371" width="60.81640625" style="93" bestFit="1" customWidth="1"/>
    <col min="15372" max="15618" width="8.7265625" style="93"/>
    <col min="15619" max="15619" width="24" style="93" bestFit="1" customWidth="1"/>
    <col min="15620" max="15620" width="18.26953125" style="93" customWidth="1"/>
    <col min="15621" max="15621" width="7.54296875" style="93" customWidth="1"/>
    <col min="15622" max="15622" width="15.7265625" style="93" customWidth="1"/>
    <col min="15623" max="15623" width="16.26953125" style="93" customWidth="1"/>
    <col min="15624" max="15624" width="14.54296875" style="93" bestFit="1" customWidth="1"/>
    <col min="15625" max="15625" width="13.81640625" style="93" bestFit="1" customWidth="1"/>
    <col min="15626" max="15626" width="85" style="93" bestFit="1" customWidth="1"/>
    <col min="15627" max="15627" width="60.81640625" style="93" bestFit="1" customWidth="1"/>
    <col min="15628" max="15874" width="8.7265625" style="93"/>
    <col min="15875" max="15875" width="24" style="93" bestFit="1" customWidth="1"/>
    <col min="15876" max="15876" width="18.26953125" style="93" customWidth="1"/>
    <col min="15877" max="15877" width="7.54296875" style="93" customWidth="1"/>
    <col min="15878" max="15878" width="15.7265625" style="93" customWidth="1"/>
    <col min="15879" max="15879" width="16.26953125" style="93" customWidth="1"/>
    <col min="15880" max="15880" width="14.54296875" style="93" bestFit="1" customWidth="1"/>
    <col min="15881" max="15881" width="13.81640625" style="93" bestFit="1" customWidth="1"/>
    <col min="15882" max="15882" width="85" style="93" bestFit="1" customWidth="1"/>
    <col min="15883" max="15883" width="60.81640625" style="93" bestFit="1" customWidth="1"/>
    <col min="15884" max="16130" width="8.7265625" style="93"/>
    <col min="16131" max="16131" width="24" style="93" bestFit="1" customWidth="1"/>
    <col min="16132" max="16132" width="18.26953125" style="93" customWidth="1"/>
    <col min="16133" max="16133" width="7.54296875" style="93" customWidth="1"/>
    <col min="16134" max="16134" width="15.7265625" style="93" customWidth="1"/>
    <col min="16135" max="16135" width="16.26953125" style="93" customWidth="1"/>
    <col min="16136" max="16136" width="14.54296875" style="93" bestFit="1" customWidth="1"/>
    <col min="16137" max="16137" width="13.81640625" style="93" bestFit="1" customWidth="1"/>
    <col min="16138" max="16138" width="85" style="93" bestFit="1" customWidth="1"/>
    <col min="16139" max="16139" width="60.81640625" style="93" bestFit="1" customWidth="1"/>
    <col min="16140" max="16384" width="8.7265625" style="93"/>
  </cols>
  <sheetData>
    <row r="1" spans="1:13" ht="62.5" thickBot="1">
      <c r="A1" s="86" t="s">
        <v>56</v>
      </c>
      <c r="B1" s="87" t="s">
        <v>57</v>
      </c>
      <c r="C1" s="87" t="s">
        <v>58</v>
      </c>
      <c r="D1" s="88" t="s">
        <v>59</v>
      </c>
      <c r="E1" s="87" t="s">
        <v>60</v>
      </c>
      <c r="F1" s="89" t="s">
        <v>270</v>
      </c>
      <c r="G1" s="88" t="s">
        <v>186</v>
      </c>
      <c r="H1" s="89" t="s">
        <v>191</v>
      </c>
      <c r="I1" s="89" t="s">
        <v>190</v>
      </c>
      <c r="J1" s="87" t="s">
        <v>61</v>
      </c>
      <c r="K1" s="90" t="s">
        <v>62</v>
      </c>
      <c r="L1" s="91"/>
      <c r="M1" s="92"/>
    </row>
    <row r="2" spans="1:13">
      <c r="A2" s="247" t="s">
        <v>212</v>
      </c>
      <c r="B2" s="92" t="s">
        <v>64</v>
      </c>
      <c r="C2" s="92" t="s">
        <v>65</v>
      </c>
      <c r="D2" s="248" t="s">
        <v>287</v>
      </c>
      <c r="E2" s="249">
        <v>1200000</v>
      </c>
      <c r="F2" s="250">
        <v>4829</v>
      </c>
      <c r="G2" s="263">
        <f t="shared" ref="G2:G6" si="0">E2/F2</f>
        <v>248.498653965624</v>
      </c>
      <c r="H2" s="251" t="s">
        <v>71</v>
      </c>
      <c r="I2" s="251" t="s">
        <v>71</v>
      </c>
      <c r="J2" s="92" t="s">
        <v>213</v>
      </c>
      <c r="K2" s="262" t="s">
        <v>214</v>
      </c>
    </row>
    <row r="3" spans="1:13">
      <c r="A3" s="247" t="s">
        <v>76</v>
      </c>
      <c r="B3" s="92" t="s">
        <v>64</v>
      </c>
      <c r="C3" s="92" t="s">
        <v>65</v>
      </c>
      <c r="D3" s="248">
        <v>45142</v>
      </c>
      <c r="E3" s="249">
        <v>350000</v>
      </c>
      <c r="F3" s="250">
        <f>38*115</f>
        <v>4370</v>
      </c>
      <c r="G3" s="263">
        <f t="shared" si="0"/>
        <v>80.091533180778</v>
      </c>
      <c r="H3" s="251" t="s">
        <v>71</v>
      </c>
      <c r="I3" s="251" t="s">
        <v>66</v>
      </c>
      <c r="J3" s="92" t="s">
        <v>72</v>
      </c>
      <c r="K3" s="262" t="s">
        <v>77</v>
      </c>
    </row>
    <row r="4" spans="1:13">
      <c r="A4" s="247" t="s">
        <v>193</v>
      </c>
      <c r="B4" s="92" t="s">
        <v>194</v>
      </c>
      <c r="C4" s="92" t="s">
        <v>189</v>
      </c>
      <c r="D4" s="248">
        <v>44803</v>
      </c>
      <c r="E4" s="249">
        <v>2150000</v>
      </c>
      <c r="F4" s="250">
        <v>14348</v>
      </c>
      <c r="G4" s="263">
        <f t="shared" si="0"/>
        <v>149.84666852523</v>
      </c>
      <c r="H4" s="251" t="s">
        <v>71</v>
      </c>
      <c r="I4" s="251" t="s">
        <v>71</v>
      </c>
      <c r="J4" s="92" t="s">
        <v>192</v>
      </c>
      <c r="K4" s="262" t="s">
        <v>195</v>
      </c>
    </row>
    <row r="5" spans="1:13">
      <c r="A5" s="247" t="s">
        <v>215</v>
      </c>
      <c r="B5" s="92" t="s">
        <v>64</v>
      </c>
      <c r="C5" s="92" t="s">
        <v>65</v>
      </c>
      <c r="D5" s="248">
        <v>44595</v>
      </c>
      <c r="E5" s="249">
        <v>2100000</v>
      </c>
      <c r="F5" s="250">
        <v>9665</v>
      </c>
      <c r="G5" s="263">
        <f t="shared" si="0"/>
        <v>217.278841179514</v>
      </c>
      <c r="H5" s="251" t="s">
        <v>71</v>
      </c>
      <c r="I5" s="251" t="s">
        <v>71</v>
      </c>
      <c r="J5" s="92" t="s">
        <v>216</v>
      </c>
      <c r="K5" s="262" t="s">
        <v>217</v>
      </c>
    </row>
    <row r="6" spans="1:13" ht="16" thickBot="1">
      <c r="A6" s="247" t="s">
        <v>196</v>
      </c>
      <c r="B6" s="92" t="s">
        <v>194</v>
      </c>
      <c r="C6" s="92" t="s">
        <v>189</v>
      </c>
      <c r="D6" s="248">
        <v>44329</v>
      </c>
      <c r="E6" s="249">
        <v>1695000</v>
      </c>
      <c r="F6" s="250">
        <v>8015</v>
      </c>
      <c r="G6" s="263">
        <f t="shared" si="0"/>
        <v>211.478477854024</v>
      </c>
      <c r="H6" s="251" t="s">
        <v>71</v>
      </c>
      <c r="I6" s="251" t="s">
        <v>71</v>
      </c>
      <c r="J6" s="92" t="s">
        <v>192</v>
      </c>
      <c r="K6" s="262" t="s">
        <v>195</v>
      </c>
    </row>
    <row r="7" spans="1:13" ht="16" thickBot="1">
      <c r="A7" s="228" t="s">
        <v>209</v>
      </c>
      <c r="B7" s="229"/>
      <c r="C7" s="229"/>
      <c r="D7" s="230"/>
      <c r="E7" s="231">
        <f>AVERAGE(E2:E6)</f>
        <v>1499000</v>
      </c>
      <c r="F7" s="232">
        <f>AVERAGE(F2:F6)</f>
        <v>8245.4</v>
      </c>
      <c r="G7" s="233">
        <f>AVERAGE(G2:G6)</f>
        <v>181.438834941034</v>
      </c>
      <c r="H7" s="234"/>
      <c r="I7" s="234"/>
      <c r="J7" s="235"/>
      <c r="K7" s="236"/>
    </row>
    <row r="8" spans="1:13" ht="62.5" thickBot="1">
      <c r="A8" s="86" t="s">
        <v>56</v>
      </c>
      <c r="B8" s="87" t="s">
        <v>57</v>
      </c>
      <c r="C8" s="87" t="s">
        <v>58</v>
      </c>
      <c r="D8" s="88" t="s">
        <v>59</v>
      </c>
      <c r="E8" s="87" t="s">
        <v>60</v>
      </c>
      <c r="F8" s="89" t="s">
        <v>270</v>
      </c>
      <c r="G8" s="88" t="s">
        <v>186</v>
      </c>
      <c r="H8" s="89" t="s">
        <v>191</v>
      </c>
      <c r="I8" s="89" t="s">
        <v>190</v>
      </c>
      <c r="J8" s="87" t="s">
        <v>61</v>
      </c>
      <c r="K8" s="90" t="s">
        <v>62</v>
      </c>
      <c r="L8" s="91"/>
      <c r="M8" s="92"/>
    </row>
    <row r="9" spans="1:13">
      <c r="A9" s="316" t="s">
        <v>207</v>
      </c>
      <c r="B9" s="317" t="s">
        <v>64</v>
      </c>
      <c r="C9" s="317" t="s">
        <v>65</v>
      </c>
      <c r="D9" s="318">
        <v>46024</v>
      </c>
      <c r="E9" s="319">
        <v>35000</v>
      </c>
      <c r="F9" s="320">
        <f>38*39</f>
        <v>1482</v>
      </c>
      <c r="G9" s="321">
        <f t="shared" ref="G9:G30" si="1">E9/F9</f>
        <v>23.6167341430499</v>
      </c>
      <c r="H9" s="322" t="s">
        <v>66</v>
      </c>
      <c r="I9" s="322" t="s">
        <v>66</v>
      </c>
      <c r="J9" s="317" t="s">
        <v>67</v>
      </c>
      <c r="K9" s="323" t="s">
        <v>208</v>
      </c>
      <c r="L9" s="91"/>
      <c r="M9" s="92"/>
    </row>
    <row r="10" spans="1:13">
      <c r="A10" s="324" t="s">
        <v>202</v>
      </c>
      <c r="B10" s="92" t="s">
        <v>64</v>
      </c>
      <c r="C10" s="92" t="s">
        <v>65</v>
      </c>
      <c r="D10" s="248">
        <v>46022</v>
      </c>
      <c r="E10" s="249">
        <v>60000</v>
      </c>
      <c r="F10" s="250">
        <f>38*39</f>
        <v>1482</v>
      </c>
      <c r="G10" s="263">
        <f t="shared" si="1"/>
        <v>40.4858299595142</v>
      </c>
      <c r="H10" s="251" t="s">
        <v>66</v>
      </c>
      <c r="I10" s="251" t="s">
        <v>66</v>
      </c>
      <c r="J10" s="92" t="s">
        <v>67</v>
      </c>
      <c r="K10" s="325" t="s">
        <v>203</v>
      </c>
      <c r="L10" s="91"/>
      <c r="M10" s="92"/>
    </row>
    <row r="11" spans="1:13">
      <c r="A11" s="324" t="s">
        <v>218</v>
      </c>
      <c r="B11" s="92" t="s">
        <v>64</v>
      </c>
      <c r="C11" s="92" t="s">
        <v>65</v>
      </c>
      <c r="D11" s="248">
        <v>46017</v>
      </c>
      <c r="E11" s="249">
        <v>200000</v>
      </c>
      <c r="F11" s="250">
        <f>0.132*43560</f>
        <v>5749.92</v>
      </c>
      <c r="G11" s="263">
        <f t="shared" si="1"/>
        <v>34.7830926343323</v>
      </c>
      <c r="H11" s="251" t="s">
        <v>66</v>
      </c>
      <c r="I11" s="251" t="s">
        <v>66</v>
      </c>
      <c r="J11" s="92" t="s">
        <v>199</v>
      </c>
      <c r="K11" s="325" t="s">
        <v>219</v>
      </c>
      <c r="L11" s="91"/>
      <c r="M11" s="92"/>
    </row>
    <row r="12" spans="1:13">
      <c r="A12" s="324" t="s">
        <v>202</v>
      </c>
      <c r="B12" s="92" t="s">
        <v>64</v>
      </c>
      <c r="C12" s="92" t="s">
        <v>65</v>
      </c>
      <c r="D12" s="248">
        <v>46006</v>
      </c>
      <c r="E12" s="249">
        <v>60000</v>
      </c>
      <c r="F12" s="250">
        <f>38*39</f>
        <v>1482</v>
      </c>
      <c r="G12" s="263">
        <f t="shared" si="1"/>
        <v>40.4858299595142</v>
      </c>
      <c r="H12" s="251" t="s">
        <v>66</v>
      </c>
      <c r="I12" s="251" t="s">
        <v>66</v>
      </c>
      <c r="J12" s="92" t="s">
        <v>67</v>
      </c>
      <c r="K12" s="325" t="s">
        <v>206</v>
      </c>
      <c r="L12" s="91"/>
      <c r="M12" s="92"/>
    </row>
    <row r="13" spans="1:13">
      <c r="A13" s="324" t="s">
        <v>202</v>
      </c>
      <c r="B13" s="92" t="s">
        <v>64</v>
      </c>
      <c r="C13" s="92" t="s">
        <v>65</v>
      </c>
      <c r="D13" s="248">
        <v>45982</v>
      </c>
      <c r="E13" s="249">
        <v>60000</v>
      </c>
      <c r="F13" s="250">
        <f>38*39</f>
        <v>1482</v>
      </c>
      <c r="G13" s="263">
        <f t="shared" si="1"/>
        <v>40.4858299595142</v>
      </c>
      <c r="H13" s="251" t="s">
        <v>66</v>
      </c>
      <c r="I13" s="251" t="s">
        <v>66</v>
      </c>
      <c r="J13" s="92" t="s">
        <v>67</v>
      </c>
      <c r="K13" s="325" t="s">
        <v>204</v>
      </c>
      <c r="L13" s="91"/>
      <c r="M13" s="92"/>
    </row>
    <row r="14" spans="1:13">
      <c r="A14" s="324" t="s">
        <v>123</v>
      </c>
      <c r="B14" s="92" t="s">
        <v>64</v>
      </c>
      <c r="C14" s="92" t="s">
        <v>65</v>
      </c>
      <c r="D14" s="248">
        <v>45978</v>
      </c>
      <c r="E14" s="249">
        <v>249000</v>
      </c>
      <c r="F14" s="250">
        <f>0.175*43560</f>
        <v>7623</v>
      </c>
      <c r="G14" s="263">
        <f t="shared" si="1"/>
        <v>32.6643053915781</v>
      </c>
      <c r="H14" s="251" t="s">
        <v>66</v>
      </c>
      <c r="I14" s="251" t="s">
        <v>66</v>
      </c>
      <c r="J14" s="92" t="s">
        <v>67</v>
      </c>
      <c r="K14" s="325" t="s">
        <v>124</v>
      </c>
      <c r="L14" s="91"/>
      <c r="M14" s="92"/>
    </row>
    <row r="15" spans="1:13">
      <c r="A15" s="324" t="s">
        <v>202</v>
      </c>
      <c r="B15" s="92" t="s">
        <v>64</v>
      </c>
      <c r="C15" s="92" t="s">
        <v>65</v>
      </c>
      <c r="D15" s="248">
        <v>45974</v>
      </c>
      <c r="E15" s="249">
        <v>60000</v>
      </c>
      <c r="F15" s="250">
        <f>38*39</f>
        <v>1482</v>
      </c>
      <c r="G15" s="263">
        <f t="shared" si="1"/>
        <v>40.4858299595142</v>
      </c>
      <c r="H15" s="251" t="s">
        <v>66</v>
      </c>
      <c r="I15" s="251" t="s">
        <v>66</v>
      </c>
      <c r="J15" s="92" t="s">
        <v>67</v>
      </c>
      <c r="K15" s="325" t="s">
        <v>205</v>
      </c>
      <c r="L15" s="91"/>
      <c r="M15" s="92"/>
    </row>
    <row r="16" spans="1:13">
      <c r="A16" s="324" t="s">
        <v>125</v>
      </c>
      <c r="B16" s="92" t="s">
        <v>64</v>
      </c>
      <c r="C16" s="92" t="s">
        <v>65</v>
      </c>
      <c r="D16" s="248">
        <v>45968</v>
      </c>
      <c r="E16" s="249">
        <v>247500</v>
      </c>
      <c r="F16" s="250">
        <f>0.2*43560</f>
        <v>8712</v>
      </c>
      <c r="G16" s="263">
        <f t="shared" si="1"/>
        <v>28.4090909090909</v>
      </c>
      <c r="H16" s="251" t="s">
        <v>66</v>
      </c>
      <c r="I16" s="251" t="s">
        <v>66</v>
      </c>
      <c r="J16" s="92" t="s">
        <v>67</v>
      </c>
      <c r="K16" s="325" t="s">
        <v>126</v>
      </c>
      <c r="L16" s="91"/>
      <c r="M16" s="92"/>
    </row>
    <row r="17" spans="1:13">
      <c r="A17" s="324" t="s">
        <v>121</v>
      </c>
      <c r="B17" s="92" t="s">
        <v>64</v>
      </c>
      <c r="C17" s="92" t="s">
        <v>65</v>
      </c>
      <c r="D17" s="248">
        <v>45954</v>
      </c>
      <c r="E17" s="249">
        <v>226000</v>
      </c>
      <c r="F17" s="250">
        <f>0.139*43560</f>
        <v>6054.84</v>
      </c>
      <c r="G17" s="263">
        <f t="shared" si="1"/>
        <v>37.3255114916331</v>
      </c>
      <c r="H17" s="251" t="s">
        <v>66</v>
      </c>
      <c r="I17" s="251" t="s">
        <v>66</v>
      </c>
      <c r="J17" s="92" t="s">
        <v>67</v>
      </c>
      <c r="K17" s="325" t="s">
        <v>122</v>
      </c>
      <c r="L17" s="91"/>
      <c r="M17" s="92"/>
    </row>
    <row r="18" spans="1:13">
      <c r="A18" s="324" t="s">
        <v>197</v>
      </c>
      <c r="B18" s="92" t="s">
        <v>198</v>
      </c>
      <c r="C18" s="92" t="s">
        <v>189</v>
      </c>
      <c r="D18" s="248">
        <v>45862</v>
      </c>
      <c r="E18" s="249">
        <v>525000</v>
      </c>
      <c r="F18" s="250">
        <v>11666</v>
      </c>
      <c r="G18" s="263">
        <f t="shared" si="1"/>
        <v>45.0025715755186</v>
      </c>
      <c r="H18" s="251" t="s">
        <v>66</v>
      </c>
      <c r="I18" s="251" t="s">
        <v>66</v>
      </c>
      <c r="J18" s="92" t="s">
        <v>199</v>
      </c>
      <c r="K18" s="325" t="s">
        <v>200</v>
      </c>
    </row>
    <row r="19" spans="1:13">
      <c r="A19" s="324" t="s">
        <v>63</v>
      </c>
      <c r="B19" s="92" t="s">
        <v>64</v>
      </c>
      <c r="C19" s="92" t="s">
        <v>65</v>
      </c>
      <c r="D19" s="248">
        <v>45621</v>
      </c>
      <c r="E19" s="249">
        <v>150000</v>
      </c>
      <c r="F19" s="250">
        <f>0.068*43560</f>
        <v>2962.08</v>
      </c>
      <c r="G19" s="263">
        <f t="shared" si="1"/>
        <v>50.6400907470426</v>
      </c>
      <c r="H19" s="251" t="s">
        <v>66</v>
      </c>
      <c r="I19" s="251" t="s">
        <v>66</v>
      </c>
      <c r="J19" s="92" t="s">
        <v>67</v>
      </c>
      <c r="K19" s="325" t="s">
        <v>68</v>
      </c>
    </row>
    <row r="20" spans="1:13">
      <c r="A20" s="324" t="s">
        <v>69</v>
      </c>
      <c r="B20" s="92" t="s">
        <v>64</v>
      </c>
      <c r="C20" s="92" t="s">
        <v>65</v>
      </c>
      <c r="D20" s="248">
        <v>45589</v>
      </c>
      <c r="E20" s="249">
        <v>240000</v>
      </c>
      <c r="F20" s="250">
        <f>49*60</f>
        <v>2940</v>
      </c>
      <c r="G20" s="263">
        <f t="shared" si="1"/>
        <v>81.6326530612245</v>
      </c>
      <c r="H20" s="251" t="s">
        <v>66</v>
      </c>
      <c r="I20" s="251" t="s">
        <v>66</v>
      </c>
      <c r="J20" s="92" t="s">
        <v>67</v>
      </c>
      <c r="K20" s="325" t="s">
        <v>70</v>
      </c>
    </row>
    <row r="21" spans="1:13">
      <c r="A21" s="324" t="s">
        <v>220</v>
      </c>
      <c r="B21" s="92" t="s">
        <v>221</v>
      </c>
      <c r="C21" s="92" t="s">
        <v>65</v>
      </c>
      <c r="D21" s="248">
        <v>45446</v>
      </c>
      <c r="E21" s="249">
        <v>290000</v>
      </c>
      <c r="F21" s="250">
        <f>0.2961*43560</f>
        <v>12898.116</v>
      </c>
      <c r="G21" s="263">
        <f t="shared" si="1"/>
        <v>22.4839038507639</v>
      </c>
      <c r="H21" s="251" t="s">
        <v>66</v>
      </c>
      <c r="I21" s="251" t="s">
        <v>66</v>
      </c>
      <c r="J21" s="92" t="s">
        <v>199</v>
      </c>
      <c r="K21" s="325" t="s">
        <v>222</v>
      </c>
    </row>
    <row r="22" spans="1:13">
      <c r="A22" s="324" t="s">
        <v>73</v>
      </c>
      <c r="B22" s="92" t="s">
        <v>64</v>
      </c>
      <c r="C22" s="92" t="s">
        <v>65</v>
      </c>
      <c r="D22" s="248">
        <v>45406</v>
      </c>
      <c r="E22" s="249">
        <v>325000</v>
      </c>
      <c r="F22" s="250">
        <f>37080</f>
        <v>37080</v>
      </c>
      <c r="G22" s="263">
        <f t="shared" si="1"/>
        <v>8.76483279395901</v>
      </c>
      <c r="H22" s="251" t="s">
        <v>66</v>
      </c>
      <c r="I22" s="251" t="s">
        <v>66</v>
      </c>
      <c r="J22" s="92" t="s">
        <v>74</v>
      </c>
      <c r="K22" s="325" t="s">
        <v>75</v>
      </c>
    </row>
    <row r="23" spans="1:13">
      <c r="A23" s="324" t="s">
        <v>223</v>
      </c>
      <c r="B23" s="92" t="s">
        <v>221</v>
      </c>
      <c r="C23" s="92" t="s">
        <v>65</v>
      </c>
      <c r="D23" s="248">
        <v>44735</v>
      </c>
      <c r="E23" s="249">
        <v>300000</v>
      </c>
      <c r="F23" s="250">
        <f>0.2961*43560</f>
        <v>12898.116</v>
      </c>
      <c r="G23" s="263">
        <f t="shared" si="1"/>
        <v>23.2592108801006</v>
      </c>
      <c r="H23" s="251" t="s">
        <v>66</v>
      </c>
      <c r="I23" s="251" t="s">
        <v>66</v>
      </c>
      <c r="J23" s="92" t="s">
        <v>199</v>
      </c>
      <c r="K23" s="325" t="s">
        <v>224</v>
      </c>
    </row>
    <row r="24" spans="1:13">
      <c r="A24" s="324" t="s">
        <v>201</v>
      </c>
      <c r="B24" s="92" t="s">
        <v>194</v>
      </c>
      <c r="C24" s="92" t="s">
        <v>189</v>
      </c>
      <c r="D24" s="248">
        <v>44701</v>
      </c>
      <c r="E24" s="249">
        <v>1285500</v>
      </c>
      <c r="F24" s="250">
        <v>17912</v>
      </c>
      <c r="G24" s="263">
        <f t="shared" si="1"/>
        <v>71.7675301473872</v>
      </c>
      <c r="H24" s="251" t="s">
        <v>66</v>
      </c>
      <c r="I24" s="251" t="s">
        <v>66</v>
      </c>
      <c r="J24" s="92" t="s">
        <v>199</v>
      </c>
      <c r="K24" s="325" t="s">
        <v>195</v>
      </c>
    </row>
    <row r="25" spans="1:13">
      <c r="A25" s="324" t="s">
        <v>289</v>
      </c>
      <c r="B25" s="92" t="s">
        <v>64</v>
      </c>
      <c r="C25" s="92" t="s">
        <v>65</v>
      </c>
      <c r="D25" s="248">
        <v>44358</v>
      </c>
      <c r="E25" s="249">
        <v>245000</v>
      </c>
      <c r="F25" s="250">
        <v>33729</v>
      </c>
      <c r="G25" s="263">
        <f t="shared" si="1"/>
        <v>7.26377894393549</v>
      </c>
      <c r="H25" s="251" t="s">
        <v>66</v>
      </c>
      <c r="I25" s="251" t="s">
        <v>66</v>
      </c>
      <c r="J25" s="92" t="s">
        <v>74</v>
      </c>
      <c r="K25" s="325" t="s">
        <v>290</v>
      </c>
    </row>
    <row r="26" spans="1:13">
      <c r="A26" s="324" t="s">
        <v>78</v>
      </c>
      <c r="B26" s="92" t="s">
        <v>64</v>
      </c>
      <c r="C26" s="92" t="s">
        <v>65</v>
      </c>
      <c r="D26" s="248">
        <v>44076</v>
      </c>
      <c r="E26" s="249">
        <v>235000</v>
      </c>
      <c r="F26" s="250">
        <f>0.82*43560</f>
        <v>35719.2</v>
      </c>
      <c r="G26" s="263">
        <f t="shared" si="1"/>
        <v>6.579094716567</v>
      </c>
      <c r="H26" s="251" t="s">
        <v>66</v>
      </c>
      <c r="I26" s="251" t="s">
        <v>66</v>
      </c>
      <c r="J26" s="92" t="s">
        <v>74</v>
      </c>
      <c r="K26" s="325" t="s">
        <v>79</v>
      </c>
    </row>
    <row r="27" spans="1:13">
      <c r="A27" s="324" t="s">
        <v>80</v>
      </c>
      <c r="B27" s="92" t="s">
        <v>64</v>
      </c>
      <c r="C27" s="92" t="s">
        <v>65</v>
      </c>
      <c r="D27" s="248">
        <v>44099</v>
      </c>
      <c r="E27" s="249">
        <v>245000</v>
      </c>
      <c r="F27" s="250">
        <f>0.55*43560</f>
        <v>23958</v>
      </c>
      <c r="G27" s="263">
        <f>E27/F27</f>
        <v>10.2262292344937</v>
      </c>
      <c r="H27" s="251" t="s">
        <v>66</v>
      </c>
      <c r="I27" s="251" t="s">
        <v>66</v>
      </c>
      <c r="J27" s="92" t="s">
        <v>74</v>
      </c>
      <c r="K27" s="325" t="s">
        <v>81</v>
      </c>
    </row>
    <row r="28" spans="1:13">
      <c r="A28" s="324" t="s">
        <v>248</v>
      </c>
      <c r="B28" s="92" t="s">
        <v>64</v>
      </c>
      <c r="C28" s="92" t="s">
        <v>65</v>
      </c>
      <c r="D28" s="248">
        <v>44071</v>
      </c>
      <c r="E28" s="249">
        <v>240000</v>
      </c>
      <c r="F28" s="250">
        <v>32802</v>
      </c>
      <c r="G28" s="263">
        <f>E28/F28</f>
        <v>7.31662703493689</v>
      </c>
      <c r="H28" s="251" t="s">
        <v>66</v>
      </c>
      <c r="I28" s="251" t="s">
        <v>66</v>
      </c>
      <c r="J28" s="92" t="s">
        <v>74</v>
      </c>
      <c r="K28" s="325" t="s">
        <v>293</v>
      </c>
    </row>
    <row r="29" spans="1:13">
      <c r="A29" s="324" t="s">
        <v>291</v>
      </c>
      <c r="B29" s="92" t="s">
        <v>64</v>
      </c>
      <c r="C29" s="92" t="s">
        <v>65</v>
      </c>
      <c r="D29" s="248">
        <v>44067</v>
      </c>
      <c r="E29" s="249">
        <v>245000</v>
      </c>
      <c r="F29" s="250">
        <v>44606</v>
      </c>
      <c r="G29" s="263">
        <f t="shared" si="1"/>
        <v>5.49253463659597</v>
      </c>
      <c r="H29" s="251" t="s">
        <v>66</v>
      </c>
      <c r="I29" s="251" t="s">
        <v>66</v>
      </c>
      <c r="J29" s="92" t="s">
        <v>74</v>
      </c>
      <c r="K29" s="325" t="s">
        <v>292</v>
      </c>
    </row>
    <row r="30" spans="1:13">
      <c r="A30" s="324" t="s">
        <v>82</v>
      </c>
      <c r="B30" s="92" t="s">
        <v>64</v>
      </c>
      <c r="C30" s="92" t="s">
        <v>65</v>
      </c>
      <c r="D30" s="248">
        <v>44062</v>
      </c>
      <c r="E30" s="249">
        <v>250000</v>
      </c>
      <c r="F30" s="250">
        <f>0.97*43560</f>
        <v>42253.2</v>
      </c>
      <c r="G30" s="263">
        <f t="shared" si="1"/>
        <v>5.91671163367508</v>
      </c>
      <c r="H30" s="251" t="s">
        <v>66</v>
      </c>
      <c r="I30" s="251" t="s">
        <v>66</v>
      </c>
      <c r="J30" s="92" t="s">
        <v>74</v>
      </c>
      <c r="K30" s="325" t="s">
        <v>83</v>
      </c>
    </row>
    <row r="31" spans="1:13">
      <c r="A31" s="324" t="s">
        <v>294</v>
      </c>
      <c r="B31" s="92" t="s">
        <v>64</v>
      </c>
      <c r="C31" s="92" t="s">
        <v>65</v>
      </c>
      <c r="D31" s="248">
        <v>43336</v>
      </c>
      <c r="E31" s="249">
        <v>235000</v>
      </c>
      <c r="F31" s="250">
        <f>0.6*43560</f>
        <v>26136</v>
      </c>
      <c r="G31" s="263">
        <f t="shared" ref="G31" si="2">E31/F31</f>
        <v>8.9914294459749</v>
      </c>
      <c r="H31" s="251" t="s">
        <v>66</v>
      </c>
      <c r="I31" s="251" t="s">
        <v>66</v>
      </c>
      <c r="J31" s="92" t="s">
        <v>74</v>
      </c>
      <c r="K31" s="325" t="s">
        <v>295</v>
      </c>
    </row>
    <row r="32" spans="1:13">
      <c r="A32" s="324" t="s">
        <v>296</v>
      </c>
      <c r="B32" s="92" t="s">
        <v>64</v>
      </c>
      <c r="C32" s="92" t="s">
        <v>65</v>
      </c>
      <c r="D32" s="248">
        <v>43330</v>
      </c>
      <c r="E32" s="249">
        <v>235000</v>
      </c>
      <c r="F32" s="250">
        <f>0.67*43560</f>
        <v>29185.2</v>
      </c>
      <c r="G32" s="263">
        <f t="shared" ref="G32:G33" si="3">E32/F32</f>
        <v>8.05202636952976</v>
      </c>
      <c r="H32" s="251" t="s">
        <v>66</v>
      </c>
      <c r="I32" s="251" t="s">
        <v>66</v>
      </c>
      <c r="J32" s="92" t="s">
        <v>74</v>
      </c>
      <c r="K32" s="325" t="s">
        <v>297</v>
      </c>
    </row>
    <row r="33" spans="1:13">
      <c r="A33" s="326" t="s">
        <v>298</v>
      </c>
      <c r="B33" s="327" t="s">
        <v>64</v>
      </c>
      <c r="C33" s="327" t="s">
        <v>65</v>
      </c>
      <c r="D33" s="328">
        <v>43230</v>
      </c>
      <c r="E33" s="329">
        <v>399000</v>
      </c>
      <c r="F33" s="330">
        <f>1.943*43560</f>
        <v>84637.08</v>
      </c>
      <c r="G33" s="331">
        <f t="shared" si="3"/>
        <v>4.71424581282814</v>
      </c>
      <c r="H33" s="332" t="s">
        <v>66</v>
      </c>
      <c r="I33" s="332" t="s">
        <v>66</v>
      </c>
      <c r="J33" s="327" t="s">
        <v>74</v>
      </c>
      <c r="K33" s="333" t="s">
        <v>299</v>
      </c>
    </row>
    <row r="34" spans="1:13" ht="16" thickBot="1">
      <c r="A34" s="237" t="s">
        <v>210</v>
      </c>
      <c r="B34" s="238"/>
      <c r="C34" s="238"/>
      <c r="D34" s="239"/>
      <c r="E34" s="240">
        <f>AVERAGE(E9:E33)</f>
        <v>265680</v>
      </c>
      <c r="F34" s="241">
        <f>AVERAGE(F9:F33)</f>
        <v>19477.27008</v>
      </c>
      <c r="G34" s="242">
        <f>AVERAGE(G9:G33)</f>
        <v>27.473821011691</v>
      </c>
      <c r="H34" s="243"/>
      <c r="I34" s="243"/>
      <c r="J34" s="244"/>
      <c r="K34" s="245"/>
    </row>
    <row r="35" spans="1:13" ht="16" thickBot="1">
      <c r="A35" s="356"/>
      <c r="B35" s="357"/>
      <c r="C35" s="357"/>
      <c r="D35" s="358"/>
      <c r="E35" s="359"/>
      <c r="F35" s="360"/>
      <c r="G35" s="361"/>
      <c r="H35" s="362"/>
      <c r="I35" s="362"/>
      <c r="J35" s="363"/>
      <c r="K35" s="364"/>
    </row>
    <row r="36" spans="1:13" ht="16" thickBot="1">
      <c r="A36" s="264" t="s">
        <v>211</v>
      </c>
      <c r="B36" s="265"/>
      <c r="C36" s="265"/>
      <c r="D36" s="266"/>
      <c r="E36" s="267">
        <f>AVERAGE(E2:E6,E9:E33)</f>
        <v>471233.333333333</v>
      </c>
      <c r="F36" s="268">
        <f>AVERAGE(F2:F6,F9:F33)</f>
        <v>17605.2917333333</v>
      </c>
      <c r="G36" s="269">
        <f>AVERAGE(G2:G6,G9:G33)</f>
        <v>53.1346566665815</v>
      </c>
      <c r="H36" s="270"/>
      <c r="I36" s="270"/>
      <c r="J36" s="271"/>
      <c r="K36" s="272"/>
    </row>
    <row r="37" spans="1:13" ht="6.65" customHeight="1">
      <c r="D37" s="94"/>
      <c r="E37" s="95"/>
      <c r="F37" s="97"/>
      <c r="G37" s="97"/>
      <c r="H37" s="95"/>
      <c r="I37" s="95"/>
    </row>
    <row r="38" spans="1:13">
      <c r="A38" s="246"/>
      <c r="D38" s="94"/>
      <c r="E38" s="95"/>
      <c r="F38" s="97"/>
      <c r="G38" s="97"/>
      <c r="H38" s="95"/>
      <c r="I38" s="95"/>
    </row>
    <row r="39" spans="1:13">
      <c r="A39" s="324" t="s">
        <v>336</v>
      </c>
      <c r="B39" s="92" t="s">
        <v>64</v>
      </c>
      <c r="C39" s="92" t="s">
        <v>65</v>
      </c>
      <c r="D39" s="248">
        <v>44448</v>
      </c>
      <c r="E39" s="249">
        <v>400000</v>
      </c>
      <c r="F39" s="378"/>
      <c r="G39" s="263"/>
      <c r="H39" s="251" t="s">
        <v>66</v>
      </c>
      <c r="I39" s="251" t="s">
        <v>66</v>
      </c>
      <c r="J39" s="92" t="s">
        <v>337</v>
      </c>
      <c r="K39" s="325" t="s">
        <v>126</v>
      </c>
      <c r="L39" s="91"/>
      <c r="M39" s="92"/>
    </row>
    <row r="40" spans="1:13">
      <c r="E40" s="379" t="s">
        <v>338</v>
      </c>
      <c r="F40" s="381">
        <v>2.71</v>
      </c>
      <c r="G40" s="263">
        <f>+E39/F40</f>
        <v>147601.47601476</v>
      </c>
      <c r="H40" s="95"/>
      <c r="I40" s="95"/>
    </row>
    <row r="41" spans="1:13">
      <c r="E41" s="379" t="s">
        <v>339</v>
      </c>
      <c r="F41" s="381">
        <f>+F40*43560</f>
        <v>118047.6</v>
      </c>
      <c r="G41" s="263">
        <f>+E39/F41</f>
        <v>3.38846363670248</v>
      </c>
    </row>
    <row r="42" spans="1:13">
      <c r="E42" s="380" t="s">
        <v>340</v>
      </c>
      <c r="F42" s="381">
        <v>14</v>
      </c>
      <c r="G42" s="263">
        <f>+E39/F42</f>
        <v>28571.4285714286</v>
      </c>
    </row>
    <row r="44" spans="1:13">
      <c r="G44" s="382"/>
    </row>
  </sheetData>
  <hyperlinks>
    <hyperlink ref="K3" r:id="rId1" display="https://beacon.schneidercorp.com/Application.aspx?AppID=205&amp;LayerID=2736&amp;PageTypeID=4&amp;PageID=1531&amp;KeyValue=460121476078000022" xr:uid="{8B23CD20-F21D-4727-A7AC-FF20BE4BFEC4}"/>
    <hyperlink ref="K4" r:id="rId2" display="https://beacon.schneidercorp.com/Application.aspx?AppID=346&amp;LayerID=4427&amp;PageTypeID=1&amp;PageID=2614&amp;KeyValue=11-41-4850-0052-00-4" xr:uid="{18955F0D-0D5A-435E-90C3-BE143B2F86C9}"/>
    <hyperlink ref="K6" r:id="rId3" display="https://beacon.schneidercorp.com/Application.aspx?AppID=346&amp;LayerID=4427&amp;PageTypeID=1&amp;PageID=2614&amp;KeyValue=11-41-4850-0052-00-4" xr:uid="{77344084-9B30-49EC-847D-5DC5EA412AF9}"/>
    <hyperlink ref="K2" r:id="rId4" display="https://beacon.schneidercorp.com/Application.aspx?AppID=205&amp;LayerID=2736&amp;PageTypeID=4&amp;PageID=1531&amp;KeyValue=460121254004000022" xr:uid="{29FF4996-1E26-4FC0-B37A-966FB16CA0C0}"/>
    <hyperlink ref="K5" r:id="rId5" display="https://beacon.schneidercorp.com/Application.aspx?AppID=205&amp;LayerID=2736&amp;PageTypeID=4&amp;PageID=1531&amp;KeyValue=460121227003000022" xr:uid="{F2FAABCF-B6A2-4B42-B430-7E502FF26CA8}"/>
    <hyperlink ref="K20" r:id="rId6" display="https://beacon.schneidercorp.com/Application.aspx?AppID=205&amp;LayerID=2736&amp;PageTypeID=4&amp;PageID=1531&amp;KeyValue=460121476023000022" xr:uid="{5A3C8937-8956-4B3B-89EB-7A5C3BAB027E}"/>
    <hyperlink ref="K19" r:id="rId7" display="https://beacon.schneidercorp.com/Application.aspx?AppID=205&amp;LayerID=2736&amp;PageTypeID=4&amp;PageID=1531&amp;KeyValue=460121476026000022" xr:uid="{E1001DD1-8FE5-41BF-B507-E9802A1D828C}"/>
    <hyperlink ref="K22" r:id="rId8" display="https://beacon.schneidercorp.com/Application.aspx?AppID=205&amp;LayerID=2736&amp;PageTypeID=4&amp;PageID=1531&amp;Q=859830210&amp;KeyValue=460121426126000022" xr:uid="{419D809E-1726-45A5-B1A0-14151F2F6217}"/>
    <hyperlink ref="K26" r:id="rId9" display="https://beacon.schneidercorp.com/Application.aspx?AppID=205&amp;LayerID=2736&amp;PageTypeID=4&amp;PageID=1531&amp;Q=830281649&amp;KeyValue=460121426128000022" xr:uid="{09C6E4A8-96B1-4275-96EB-E2A9B9839172}"/>
    <hyperlink ref="K27" r:id="rId10" display="https://beacon.schneidercorp.com/Application.aspx?AppID=205&amp;LayerID=2736&amp;PageTypeID=4&amp;PageID=1531&amp;Q=1142470202&amp;KeyValue=460121426134000022" xr:uid="{523BDD1B-0A82-42F2-A272-7633C1F08E49}"/>
    <hyperlink ref="K30" r:id="rId11" display="https://beacon.schneidercorp.com/Application.aspx?AppID=205&amp;LayerID=2736&amp;PageTypeID=4&amp;PageID=1531&amp;Q=1953573186&amp;KeyValue=460121426129000022" xr:uid="{ED3C0773-BC76-4E32-9858-5E291A0D43BF}"/>
    <hyperlink ref="K17" r:id="rId12" display="https://beacon.schneidercorp.com/Application.aspx?AppID=205&amp;LayerID=2736&amp;PageTypeID=4&amp;PageID=1531&amp;KeyValue=460121476116000022" xr:uid="{E9944C92-99F2-4535-8D97-74801139E3CE}"/>
    <hyperlink ref="K14" r:id="rId13" display="https://beacon.schneidercorp.com/Application.aspx?AppID=205&amp;LayerID=2736&amp;PageTypeID=4&amp;PageID=1531&amp;KeyValue=460121476117000022" xr:uid="{C434ECDC-6ADC-42BA-BAD2-CC1EE094D248}"/>
    <hyperlink ref="K16" r:id="rId14" display="https://beacon.schneidercorp.com/Application.aspx?AppID=205&amp;LayerID=2736&amp;PageTypeID=4&amp;PageID=1531&amp;KeyValue=460121476118000022" xr:uid="{A8A70A66-A2F2-494E-9526-86661DFE57FC}"/>
    <hyperlink ref="K18" r:id="rId15" display="https://beacon.schneidercorp.com/Application.aspx?AppID=346&amp;LayerID=4427&amp;PageTypeID=4&amp;PageID=2617&amp;Q=1758253892&amp;KeyValue=11-13-5750-0005-00-3" xr:uid="{B1C2586C-80C8-469A-B59F-205E1F4668C0}"/>
    <hyperlink ref="K24" r:id="rId16" display="https://beacon.schneidercorp.com/Application.aspx?AppID=346&amp;LayerID=4427&amp;PageTypeID=1&amp;PageID=2614&amp;KeyValue=11-13-7150-0012-00-2" xr:uid="{9195676F-2F79-48FB-A38B-F29C017D842E}"/>
    <hyperlink ref="K10" r:id="rId17" display="https://beacon.schneidercorp.com/Application.aspx?AppID=205&amp;LayerID=2736&amp;PageTypeID=4&amp;PageID=1531&amp;KeyValue=460121476063000022" xr:uid="{02EAB009-C182-41F9-BF3D-C9A12C371E0E}"/>
    <hyperlink ref="K13" r:id="rId18" display="https://beacon.schneidercorp.com/Application.aspx?AppID=205&amp;LayerID=2736&amp;PageTypeID=4&amp;PageID=1531&amp;KeyValue=460121476064000022" xr:uid="{94345E5F-7F0D-40D5-BF6D-4866E2E1E8DC}"/>
    <hyperlink ref="K15" r:id="rId19" display="https://beacon.schneidercorp.com/Application.aspx?AppID=205&amp;LayerID=2736&amp;PageTypeID=4&amp;PageID=1531&amp;KeyValue=460121476065000022" xr:uid="{B0C4ECC9-1C11-4334-9E08-3B6905AD1E71}"/>
    <hyperlink ref="K12" r:id="rId20" display="https://beacon.schneidercorp.com/Application.aspx?AppID=205&amp;LayerID=2736&amp;PageTypeID=4&amp;PageID=1531&amp;KeyValue=460121476066000022" xr:uid="{7F594892-294B-45CD-858F-C1B3679B3319}"/>
    <hyperlink ref="K9" r:id="rId21" display="https://beacon.schneidercorp.com/Application.aspx?AppID=205&amp;LayerID=2736&amp;PageTypeID=4&amp;PageID=1531&amp;KeyValue=460121476067000022" xr:uid="{B91D4904-7D64-403D-828F-53FA5F0F1B59}"/>
    <hyperlink ref="K21" r:id="rId22" display="https://beacon.schneidercorp.com/Application.aspx?AppID=205&amp;LayerID=2736&amp;PageTypeID=4&amp;PageID=1531&amp;Q=1745023879&amp;KeyValue=460122105010000023" xr:uid="{2A1C511F-A2B3-42FD-9425-788201F97FF5}"/>
    <hyperlink ref="K23" r:id="rId23" display="https://beacon.schneidercorp.com/Application.aspx?AppID=205&amp;LayerID=2736&amp;PageTypeID=4&amp;PageID=1531&amp;KeyValue=460122105005000023" xr:uid="{71834670-A2FB-43D0-A31A-DDF41983B9C1}"/>
    <hyperlink ref="K11" r:id="rId24" display="https://beacon.schneidercorp.com/Application.aspx?AppID=205&amp;LayerID=2736&amp;PageTypeID=4&amp;PageID=1531&amp;KeyValue=460121314057000022" xr:uid="{BDB091CD-9505-4D43-900F-CF3A0FBB4619}"/>
    <hyperlink ref="K25" r:id="rId25" display="https://beacon.schneidercorp.com/Application.aspx?AppID=205&amp;LayerID=2736&amp;PageTypeID=4&amp;PageID=1531&amp;KeyValue=460121426127000022" xr:uid="{DF3089EA-B0BD-4118-824B-E2E7EE7CEDEB}"/>
    <hyperlink ref="K29" r:id="rId26" display="https://beacon.schneidercorp.com/Application.aspx?AppID=205&amp;LayerID=2736&amp;PageTypeID=4&amp;PageID=1531&amp;KeyValue=460121426135000022" xr:uid="{22C01641-41CF-4CCA-AFDD-20CFBBAFF769}"/>
    <hyperlink ref="K28" r:id="rId27" display="https://beacon.schneidercorp.com/Application.aspx?AppID=205&amp;LayerID=2736&amp;PageTypeID=4&amp;PageID=1531&amp;KeyValue=460121426131000022" xr:uid="{F974D9CF-5BC3-4850-B57B-2C627EE3DEC1}"/>
    <hyperlink ref="K31" r:id="rId28" display="https://beacon.schneidercorp.com/Application.aspx?AppID=205&amp;LayerID=2736&amp;PageTypeID=4&amp;PageID=1531&amp;KeyValue=460121426133000022" xr:uid="{A60A0BCA-4642-4526-8A36-10AEEC3C5E93}"/>
    <hyperlink ref="K32" r:id="rId29" display="https://beacon.schneidercorp.com/Application.aspx?AppID=205&amp;LayerID=2736&amp;PageTypeID=4&amp;PageID=1531&amp;KeyValue=460121426132000022" xr:uid="{859B90B9-3EF1-4B93-8AA2-B599C32FB7A1}"/>
    <hyperlink ref="K33" r:id="rId30" display="https://beacon.schneidercorp.com/Application.aspx?AppID=205&amp;LayerID=2736&amp;PageTypeID=4&amp;PageID=1531&amp;KeyValue=460121426130000022" xr:uid="{D35BCF9C-511E-4521-BEAB-85137541DC53}"/>
    <hyperlink ref="K39" r:id="rId31" display="https://beacon.schneidercorp.com/Application.aspx?AppID=205&amp;LayerID=2736&amp;PageTypeID=4&amp;PageID=1531&amp;KeyValue=460121476118000022" xr:uid="{8D1A4748-214C-408D-9131-1236FF231201}"/>
  </hyperlinks>
  <pageMargins left="0.25" right="0.25" top="0.75" bottom="0.75" header="0.3" footer="0.3"/>
  <pageSetup scale="45" orientation="landscape" r:id="rId3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7BC9-6E28-479C-866A-3BEFD649AA40}">
  <sheetPr>
    <pageSetUpPr fitToPage="1"/>
  </sheetPr>
  <dimension ref="A1:M50"/>
  <sheetViews>
    <sheetView zoomScale="85" zoomScaleNormal="85" workbookViewId="0">
      <selection activeCell="C9" sqref="C9"/>
    </sheetView>
  </sheetViews>
  <sheetFormatPr defaultRowHeight="15.5"/>
  <cols>
    <col min="1" max="1" width="29.26953125" style="252" bestFit="1" customWidth="1"/>
    <col min="2" max="2" width="18.26953125" style="252" customWidth="1"/>
    <col min="3" max="3" width="7.54296875" style="252" customWidth="1"/>
    <col min="4" max="4" width="16.7265625" style="253" bestFit="1" customWidth="1"/>
    <col min="5" max="6" width="16.26953125" style="252" customWidth="1"/>
    <col min="7" max="7" width="12.1796875" style="252" customWidth="1"/>
    <col min="8" max="8" width="8.7265625" style="252"/>
    <col min="9" max="9" width="14.81640625" style="252" bestFit="1" customWidth="1"/>
    <col min="10" max="11" width="12.81640625" style="252" customWidth="1"/>
    <col min="12" max="12" width="13.81640625" style="252" bestFit="1" customWidth="1"/>
    <col min="13" max="13" width="111.1796875" style="252" bestFit="1" customWidth="1"/>
    <col min="14" max="258" width="8.7265625" style="252"/>
    <col min="259" max="259" width="27.81640625" style="252" bestFit="1" customWidth="1"/>
    <col min="260" max="260" width="18.26953125" style="252" customWidth="1"/>
    <col min="261" max="261" width="7.54296875" style="252" customWidth="1"/>
    <col min="262" max="262" width="15.7265625" style="252" customWidth="1"/>
    <col min="263" max="264" width="16.26953125" style="252" customWidth="1"/>
    <col min="265" max="265" width="8.7265625" style="252"/>
    <col min="266" max="266" width="14.81640625" style="252" bestFit="1" customWidth="1"/>
    <col min="267" max="267" width="11.453125" style="252" customWidth="1"/>
    <col min="268" max="268" width="13.81640625" style="252" bestFit="1" customWidth="1"/>
    <col min="269" max="269" width="111.1796875" style="252" bestFit="1" customWidth="1"/>
    <col min="270" max="514" width="8.7265625" style="252"/>
    <col min="515" max="515" width="27.81640625" style="252" bestFit="1" customWidth="1"/>
    <col min="516" max="516" width="18.26953125" style="252" customWidth="1"/>
    <col min="517" max="517" width="7.54296875" style="252" customWidth="1"/>
    <col min="518" max="518" width="15.7265625" style="252" customWidth="1"/>
    <col min="519" max="520" width="16.26953125" style="252" customWidth="1"/>
    <col min="521" max="521" width="8.7265625" style="252"/>
    <col min="522" max="522" width="14.81640625" style="252" bestFit="1" customWidth="1"/>
    <col min="523" max="523" width="11.453125" style="252" customWidth="1"/>
    <col min="524" max="524" width="13.81640625" style="252" bestFit="1" customWidth="1"/>
    <col min="525" max="525" width="111.1796875" style="252" bestFit="1" customWidth="1"/>
    <col min="526" max="770" width="8.7265625" style="252"/>
    <col min="771" max="771" width="27.81640625" style="252" bestFit="1" customWidth="1"/>
    <col min="772" max="772" width="18.26953125" style="252" customWidth="1"/>
    <col min="773" max="773" width="7.54296875" style="252" customWidth="1"/>
    <col min="774" max="774" width="15.7265625" style="252" customWidth="1"/>
    <col min="775" max="776" width="16.26953125" style="252" customWidth="1"/>
    <col min="777" max="777" width="8.7265625" style="252"/>
    <col min="778" max="778" width="14.81640625" style="252" bestFit="1" customWidth="1"/>
    <col min="779" max="779" width="11.453125" style="252" customWidth="1"/>
    <col min="780" max="780" width="13.81640625" style="252" bestFit="1" customWidth="1"/>
    <col min="781" max="781" width="111.1796875" style="252" bestFit="1" customWidth="1"/>
    <col min="782" max="1026" width="8.7265625" style="252"/>
    <col min="1027" max="1027" width="27.81640625" style="252" bestFit="1" customWidth="1"/>
    <col min="1028" max="1028" width="18.26953125" style="252" customWidth="1"/>
    <col min="1029" max="1029" width="7.54296875" style="252" customWidth="1"/>
    <col min="1030" max="1030" width="15.7265625" style="252" customWidth="1"/>
    <col min="1031" max="1032" width="16.26953125" style="252" customWidth="1"/>
    <col min="1033" max="1033" width="8.7265625" style="252"/>
    <col min="1034" max="1034" width="14.81640625" style="252" bestFit="1" customWidth="1"/>
    <col min="1035" max="1035" width="11.453125" style="252" customWidth="1"/>
    <col min="1036" max="1036" width="13.81640625" style="252" bestFit="1" customWidth="1"/>
    <col min="1037" max="1037" width="111.1796875" style="252" bestFit="1" customWidth="1"/>
    <col min="1038" max="1282" width="8.7265625" style="252"/>
    <col min="1283" max="1283" width="27.81640625" style="252" bestFit="1" customWidth="1"/>
    <col min="1284" max="1284" width="18.26953125" style="252" customWidth="1"/>
    <col min="1285" max="1285" width="7.54296875" style="252" customWidth="1"/>
    <col min="1286" max="1286" width="15.7265625" style="252" customWidth="1"/>
    <col min="1287" max="1288" width="16.26953125" style="252" customWidth="1"/>
    <col min="1289" max="1289" width="8.7265625" style="252"/>
    <col min="1290" max="1290" width="14.81640625" style="252" bestFit="1" customWidth="1"/>
    <col min="1291" max="1291" width="11.453125" style="252" customWidth="1"/>
    <col min="1292" max="1292" width="13.81640625" style="252" bestFit="1" customWidth="1"/>
    <col min="1293" max="1293" width="111.1796875" style="252" bestFit="1" customWidth="1"/>
    <col min="1294" max="1538" width="8.7265625" style="252"/>
    <col min="1539" max="1539" width="27.81640625" style="252" bestFit="1" customWidth="1"/>
    <col min="1540" max="1540" width="18.26953125" style="252" customWidth="1"/>
    <col min="1541" max="1541" width="7.54296875" style="252" customWidth="1"/>
    <col min="1542" max="1542" width="15.7265625" style="252" customWidth="1"/>
    <col min="1543" max="1544" width="16.26953125" style="252" customWidth="1"/>
    <col min="1545" max="1545" width="8.7265625" style="252"/>
    <col min="1546" max="1546" width="14.81640625" style="252" bestFit="1" customWidth="1"/>
    <col min="1547" max="1547" width="11.453125" style="252" customWidth="1"/>
    <col min="1548" max="1548" width="13.81640625" style="252" bestFit="1" customWidth="1"/>
    <col min="1549" max="1549" width="111.1796875" style="252" bestFit="1" customWidth="1"/>
    <col min="1550" max="1794" width="8.7265625" style="252"/>
    <col min="1795" max="1795" width="27.81640625" style="252" bestFit="1" customWidth="1"/>
    <col min="1796" max="1796" width="18.26953125" style="252" customWidth="1"/>
    <col min="1797" max="1797" width="7.54296875" style="252" customWidth="1"/>
    <col min="1798" max="1798" width="15.7265625" style="252" customWidth="1"/>
    <col min="1799" max="1800" width="16.26953125" style="252" customWidth="1"/>
    <col min="1801" max="1801" width="8.7265625" style="252"/>
    <col min="1802" max="1802" width="14.81640625" style="252" bestFit="1" customWidth="1"/>
    <col min="1803" max="1803" width="11.453125" style="252" customWidth="1"/>
    <col min="1804" max="1804" width="13.81640625" style="252" bestFit="1" customWidth="1"/>
    <col min="1805" max="1805" width="111.1796875" style="252" bestFit="1" customWidth="1"/>
    <col min="1806" max="2050" width="8.7265625" style="252"/>
    <col min="2051" max="2051" width="27.81640625" style="252" bestFit="1" customWidth="1"/>
    <col min="2052" max="2052" width="18.26953125" style="252" customWidth="1"/>
    <col min="2053" max="2053" width="7.54296875" style="252" customWidth="1"/>
    <col min="2054" max="2054" width="15.7265625" style="252" customWidth="1"/>
    <col min="2055" max="2056" width="16.26953125" style="252" customWidth="1"/>
    <col min="2057" max="2057" width="8.7265625" style="252"/>
    <col min="2058" max="2058" width="14.81640625" style="252" bestFit="1" customWidth="1"/>
    <col min="2059" max="2059" width="11.453125" style="252" customWidth="1"/>
    <col min="2060" max="2060" width="13.81640625" style="252" bestFit="1" customWidth="1"/>
    <col min="2061" max="2061" width="111.1796875" style="252" bestFit="1" customWidth="1"/>
    <col min="2062" max="2306" width="8.7265625" style="252"/>
    <col min="2307" max="2307" width="27.81640625" style="252" bestFit="1" customWidth="1"/>
    <col min="2308" max="2308" width="18.26953125" style="252" customWidth="1"/>
    <col min="2309" max="2309" width="7.54296875" style="252" customWidth="1"/>
    <col min="2310" max="2310" width="15.7265625" style="252" customWidth="1"/>
    <col min="2311" max="2312" width="16.26953125" style="252" customWidth="1"/>
    <col min="2313" max="2313" width="8.7265625" style="252"/>
    <col min="2314" max="2314" width="14.81640625" style="252" bestFit="1" customWidth="1"/>
    <col min="2315" max="2315" width="11.453125" style="252" customWidth="1"/>
    <col min="2316" max="2316" width="13.81640625" style="252" bestFit="1" customWidth="1"/>
    <col min="2317" max="2317" width="111.1796875" style="252" bestFit="1" customWidth="1"/>
    <col min="2318" max="2562" width="8.7265625" style="252"/>
    <col min="2563" max="2563" width="27.81640625" style="252" bestFit="1" customWidth="1"/>
    <col min="2564" max="2564" width="18.26953125" style="252" customWidth="1"/>
    <col min="2565" max="2565" width="7.54296875" style="252" customWidth="1"/>
    <col min="2566" max="2566" width="15.7265625" style="252" customWidth="1"/>
    <col min="2567" max="2568" width="16.26953125" style="252" customWidth="1"/>
    <col min="2569" max="2569" width="8.7265625" style="252"/>
    <col min="2570" max="2570" width="14.81640625" style="252" bestFit="1" customWidth="1"/>
    <col min="2571" max="2571" width="11.453125" style="252" customWidth="1"/>
    <col min="2572" max="2572" width="13.81640625" style="252" bestFit="1" customWidth="1"/>
    <col min="2573" max="2573" width="111.1796875" style="252" bestFit="1" customWidth="1"/>
    <col min="2574" max="2818" width="8.7265625" style="252"/>
    <col min="2819" max="2819" width="27.81640625" style="252" bestFit="1" customWidth="1"/>
    <col min="2820" max="2820" width="18.26953125" style="252" customWidth="1"/>
    <col min="2821" max="2821" width="7.54296875" style="252" customWidth="1"/>
    <col min="2822" max="2822" width="15.7265625" style="252" customWidth="1"/>
    <col min="2823" max="2824" width="16.26953125" style="252" customWidth="1"/>
    <col min="2825" max="2825" width="8.7265625" style="252"/>
    <col min="2826" max="2826" width="14.81640625" style="252" bestFit="1" customWidth="1"/>
    <col min="2827" max="2827" width="11.453125" style="252" customWidth="1"/>
    <col min="2828" max="2828" width="13.81640625" style="252" bestFit="1" customWidth="1"/>
    <col min="2829" max="2829" width="111.1796875" style="252" bestFit="1" customWidth="1"/>
    <col min="2830" max="3074" width="8.7265625" style="252"/>
    <col min="3075" max="3075" width="27.81640625" style="252" bestFit="1" customWidth="1"/>
    <col min="3076" max="3076" width="18.26953125" style="252" customWidth="1"/>
    <col min="3077" max="3077" width="7.54296875" style="252" customWidth="1"/>
    <col min="3078" max="3078" width="15.7265625" style="252" customWidth="1"/>
    <col min="3079" max="3080" width="16.26953125" style="252" customWidth="1"/>
    <col min="3081" max="3081" width="8.7265625" style="252"/>
    <col min="3082" max="3082" width="14.81640625" style="252" bestFit="1" customWidth="1"/>
    <col min="3083" max="3083" width="11.453125" style="252" customWidth="1"/>
    <col min="3084" max="3084" width="13.81640625" style="252" bestFit="1" customWidth="1"/>
    <col min="3085" max="3085" width="111.1796875" style="252" bestFit="1" customWidth="1"/>
    <col min="3086" max="3330" width="8.7265625" style="252"/>
    <col min="3331" max="3331" width="27.81640625" style="252" bestFit="1" customWidth="1"/>
    <col min="3332" max="3332" width="18.26953125" style="252" customWidth="1"/>
    <col min="3333" max="3333" width="7.54296875" style="252" customWidth="1"/>
    <col min="3334" max="3334" width="15.7265625" style="252" customWidth="1"/>
    <col min="3335" max="3336" width="16.26953125" style="252" customWidth="1"/>
    <col min="3337" max="3337" width="8.7265625" style="252"/>
    <col min="3338" max="3338" width="14.81640625" style="252" bestFit="1" customWidth="1"/>
    <col min="3339" max="3339" width="11.453125" style="252" customWidth="1"/>
    <col min="3340" max="3340" width="13.81640625" style="252" bestFit="1" customWidth="1"/>
    <col min="3341" max="3341" width="111.1796875" style="252" bestFit="1" customWidth="1"/>
    <col min="3342" max="3586" width="8.7265625" style="252"/>
    <col min="3587" max="3587" width="27.81640625" style="252" bestFit="1" customWidth="1"/>
    <col min="3588" max="3588" width="18.26953125" style="252" customWidth="1"/>
    <col min="3589" max="3589" width="7.54296875" style="252" customWidth="1"/>
    <col min="3590" max="3590" width="15.7265625" style="252" customWidth="1"/>
    <col min="3591" max="3592" width="16.26953125" style="252" customWidth="1"/>
    <col min="3593" max="3593" width="8.7265625" style="252"/>
    <col min="3594" max="3594" width="14.81640625" style="252" bestFit="1" customWidth="1"/>
    <col min="3595" max="3595" width="11.453125" style="252" customWidth="1"/>
    <col min="3596" max="3596" width="13.81640625" style="252" bestFit="1" customWidth="1"/>
    <col min="3597" max="3597" width="111.1796875" style="252" bestFit="1" customWidth="1"/>
    <col min="3598" max="3842" width="8.7265625" style="252"/>
    <col min="3843" max="3843" width="27.81640625" style="252" bestFit="1" customWidth="1"/>
    <col min="3844" max="3844" width="18.26953125" style="252" customWidth="1"/>
    <col min="3845" max="3845" width="7.54296875" style="252" customWidth="1"/>
    <col min="3846" max="3846" width="15.7265625" style="252" customWidth="1"/>
    <col min="3847" max="3848" width="16.26953125" style="252" customWidth="1"/>
    <col min="3849" max="3849" width="8.7265625" style="252"/>
    <col min="3850" max="3850" width="14.81640625" style="252" bestFit="1" customWidth="1"/>
    <col min="3851" max="3851" width="11.453125" style="252" customWidth="1"/>
    <col min="3852" max="3852" width="13.81640625" style="252" bestFit="1" customWidth="1"/>
    <col min="3853" max="3853" width="111.1796875" style="252" bestFit="1" customWidth="1"/>
    <col min="3854" max="4098" width="8.7265625" style="252"/>
    <col min="4099" max="4099" width="27.81640625" style="252" bestFit="1" customWidth="1"/>
    <col min="4100" max="4100" width="18.26953125" style="252" customWidth="1"/>
    <col min="4101" max="4101" width="7.54296875" style="252" customWidth="1"/>
    <col min="4102" max="4102" width="15.7265625" style="252" customWidth="1"/>
    <col min="4103" max="4104" width="16.26953125" style="252" customWidth="1"/>
    <col min="4105" max="4105" width="8.7265625" style="252"/>
    <col min="4106" max="4106" width="14.81640625" style="252" bestFit="1" customWidth="1"/>
    <col min="4107" max="4107" width="11.453125" style="252" customWidth="1"/>
    <col min="4108" max="4108" width="13.81640625" style="252" bestFit="1" customWidth="1"/>
    <col min="4109" max="4109" width="111.1796875" style="252" bestFit="1" customWidth="1"/>
    <col min="4110" max="4354" width="8.7265625" style="252"/>
    <col min="4355" max="4355" width="27.81640625" style="252" bestFit="1" customWidth="1"/>
    <col min="4356" max="4356" width="18.26953125" style="252" customWidth="1"/>
    <col min="4357" max="4357" width="7.54296875" style="252" customWidth="1"/>
    <col min="4358" max="4358" width="15.7265625" style="252" customWidth="1"/>
    <col min="4359" max="4360" width="16.26953125" style="252" customWidth="1"/>
    <col min="4361" max="4361" width="8.7265625" style="252"/>
    <col min="4362" max="4362" width="14.81640625" style="252" bestFit="1" customWidth="1"/>
    <col min="4363" max="4363" width="11.453125" style="252" customWidth="1"/>
    <col min="4364" max="4364" width="13.81640625" style="252" bestFit="1" customWidth="1"/>
    <col min="4365" max="4365" width="111.1796875" style="252" bestFit="1" customWidth="1"/>
    <col min="4366" max="4610" width="8.7265625" style="252"/>
    <col min="4611" max="4611" width="27.81640625" style="252" bestFit="1" customWidth="1"/>
    <col min="4612" max="4612" width="18.26953125" style="252" customWidth="1"/>
    <col min="4613" max="4613" width="7.54296875" style="252" customWidth="1"/>
    <col min="4614" max="4614" width="15.7265625" style="252" customWidth="1"/>
    <col min="4615" max="4616" width="16.26953125" style="252" customWidth="1"/>
    <col min="4617" max="4617" width="8.7265625" style="252"/>
    <col min="4618" max="4618" width="14.81640625" style="252" bestFit="1" customWidth="1"/>
    <col min="4619" max="4619" width="11.453125" style="252" customWidth="1"/>
    <col min="4620" max="4620" width="13.81640625" style="252" bestFit="1" customWidth="1"/>
    <col min="4621" max="4621" width="111.1796875" style="252" bestFit="1" customWidth="1"/>
    <col min="4622" max="4866" width="8.7265625" style="252"/>
    <col min="4867" max="4867" width="27.81640625" style="252" bestFit="1" customWidth="1"/>
    <col min="4868" max="4868" width="18.26953125" style="252" customWidth="1"/>
    <col min="4869" max="4869" width="7.54296875" style="252" customWidth="1"/>
    <col min="4870" max="4870" width="15.7265625" style="252" customWidth="1"/>
    <col min="4871" max="4872" width="16.26953125" style="252" customWidth="1"/>
    <col min="4873" max="4873" width="8.7265625" style="252"/>
    <col min="4874" max="4874" width="14.81640625" style="252" bestFit="1" customWidth="1"/>
    <col min="4875" max="4875" width="11.453125" style="252" customWidth="1"/>
    <col min="4876" max="4876" width="13.81640625" style="252" bestFit="1" customWidth="1"/>
    <col min="4877" max="4877" width="111.1796875" style="252" bestFit="1" customWidth="1"/>
    <col min="4878" max="5122" width="8.7265625" style="252"/>
    <col min="5123" max="5123" width="27.81640625" style="252" bestFit="1" customWidth="1"/>
    <col min="5124" max="5124" width="18.26953125" style="252" customWidth="1"/>
    <col min="5125" max="5125" width="7.54296875" style="252" customWidth="1"/>
    <col min="5126" max="5126" width="15.7265625" style="252" customWidth="1"/>
    <col min="5127" max="5128" width="16.26953125" style="252" customWidth="1"/>
    <col min="5129" max="5129" width="8.7265625" style="252"/>
    <col min="5130" max="5130" width="14.81640625" style="252" bestFit="1" customWidth="1"/>
    <col min="5131" max="5131" width="11.453125" style="252" customWidth="1"/>
    <col min="5132" max="5132" width="13.81640625" style="252" bestFit="1" customWidth="1"/>
    <col min="5133" max="5133" width="111.1796875" style="252" bestFit="1" customWidth="1"/>
    <col min="5134" max="5378" width="8.7265625" style="252"/>
    <col min="5379" max="5379" width="27.81640625" style="252" bestFit="1" customWidth="1"/>
    <col min="5380" max="5380" width="18.26953125" style="252" customWidth="1"/>
    <col min="5381" max="5381" width="7.54296875" style="252" customWidth="1"/>
    <col min="5382" max="5382" width="15.7265625" style="252" customWidth="1"/>
    <col min="5383" max="5384" width="16.26953125" style="252" customWidth="1"/>
    <col min="5385" max="5385" width="8.7265625" style="252"/>
    <col min="5386" max="5386" width="14.81640625" style="252" bestFit="1" customWidth="1"/>
    <col min="5387" max="5387" width="11.453125" style="252" customWidth="1"/>
    <col min="5388" max="5388" width="13.81640625" style="252" bestFit="1" customWidth="1"/>
    <col min="5389" max="5389" width="111.1796875" style="252" bestFit="1" customWidth="1"/>
    <col min="5390" max="5634" width="8.7265625" style="252"/>
    <col min="5635" max="5635" width="27.81640625" style="252" bestFit="1" customWidth="1"/>
    <col min="5636" max="5636" width="18.26953125" style="252" customWidth="1"/>
    <col min="5637" max="5637" width="7.54296875" style="252" customWidth="1"/>
    <col min="5638" max="5638" width="15.7265625" style="252" customWidth="1"/>
    <col min="5639" max="5640" width="16.26953125" style="252" customWidth="1"/>
    <col min="5641" max="5641" width="8.7265625" style="252"/>
    <col min="5642" max="5642" width="14.81640625" style="252" bestFit="1" customWidth="1"/>
    <col min="5643" max="5643" width="11.453125" style="252" customWidth="1"/>
    <col min="5644" max="5644" width="13.81640625" style="252" bestFit="1" customWidth="1"/>
    <col min="5645" max="5645" width="111.1796875" style="252" bestFit="1" customWidth="1"/>
    <col min="5646" max="5890" width="8.7265625" style="252"/>
    <col min="5891" max="5891" width="27.81640625" style="252" bestFit="1" customWidth="1"/>
    <col min="5892" max="5892" width="18.26953125" style="252" customWidth="1"/>
    <col min="5893" max="5893" width="7.54296875" style="252" customWidth="1"/>
    <col min="5894" max="5894" width="15.7265625" style="252" customWidth="1"/>
    <col min="5895" max="5896" width="16.26953125" style="252" customWidth="1"/>
    <col min="5897" max="5897" width="8.7265625" style="252"/>
    <col min="5898" max="5898" width="14.81640625" style="252" bestFit="1" customWidth="1"/>
    <col min="5899" max="5899" width="11.453125" style="252" customWidth="1"/>
    <col min="5900" max="5900" width="13.81640625" style="252" bestFit="1" customWidth="1"/>
    <col min="5901" max="5901" width="111.1796875" style="252" bestFit="1" customWidth="1"/>
    <col min="5902" max="6146" width="8.7265625" style="252"/>
    <col min="6147" max="6147" width="27.81640625" style="252" bestFit="1" customWidth="1"/>
    <col min="6148" max="6148" width="18.26953125" style="252" customWidth="1"/>
    <col min="6149" max="6149" width="7.54296875" style="252" customWidth="1"/>
    <col min="6150" max="6150" width="15.7265625" style="252" customWidth="1"/>
    <col min="6151" max="6152" width="16.26953125" style="252" customWidth="1"/>
    <col min="6153" max="6153" width="8.7265625" style="252"/>
    <col min="6154" max="6154" width="14.81640625" style="252" bestFit="1" customWidth="1"/>
    <col min="6155" max="6155" width="11.453125" style="252" customWidth="1"/>
    <col min="6156" max="6156" width="13.81640625" style="252" bestFit="1" customWidth="1"/>
    <col min="6157" max="6157" width="111.1796875" style="252" bestFit="1" customWidth="1"/>
    <col min="6158" max="6402" width="8.7265625" style="252"/>
    <col min="6403" max="6403" width="27.81640625" style="252" bestFit="1" customWidth="1"/>
    <col min="6404" max="6404" width="18.26953125" style="252" customWidth="1"/>
    <col min="6405" max="6405" width="7.54296875" style="252" customWidth="1"/>
    <col min="6406" max="6406" width="15.7265625" style="252" customWidth="1"/>
    <col min="6407" max="6408" width="16.26953125" style="252" customWidth="1"/>
    <col min="6409" max="6409" width="8.7265625" style="252"/>
    <col min="6410" max="6410" width="14.81640625" style="252" bestFit="1" customWidth="1"/>
    <col min="6411" max="6411" width="11.453125" style="252" customWidth="1"/>
    <col min="6412" max="6412" width="13.81640625" style="252" bestFit="1" customWidth="1"/>
    <col min="6413" max="6413" width="111.1796875" style="252" bestFit="1" customWidth="1"/>
    <col min="6414" max="6658" width="8.7265625" style="252"/>
    <col min="6659" max="6659" width="27.81640625" style="252" bestFit="1" customWidth="1"/>
    <col min="6660" max="6660" width="18.26953125" style="252" customWidth="1"/>
    <col min="6661" max="6661" width="7.54296875" style="252" customWidth="1"/>
    <col min="6662" max="6662" width="15.7265625" style="252" customWidth="1"/>
    <col min="6663" max="6664" width="16.26953125" style="252" customWidth="1"/>
    <col min="6665" max="6665" width="8.7265625" style="252"/>
    <col min="6666" max="6666" width="14.81640625" style="252" bestFit="1" customWidth="1"/>
    <col min="6667" max="6667" width="11.453125" style="252" customWidth="1"/>
    <col min="6668" max="6668" width="13.81640625" style="252" bestFit="1" customWidth="1"/>
    <col min="6669" max="6669" width="111.1796875" style="252" bestFit="1" customWidth="1"/>
    <col min="6670" max="6914" width="8.7265625" style="252"/>
    <col min="6915" max="6915" width="27.81640625" style="252" bestFit="1" customWidth="1"/>
    <col min="6916" max="6916" width="18.26953125" style="252" customWidth="1"/>
    <col min="6917" max="6917" width="7.54296875" style="252" customWidth="1"/>
    <col min="6918" max="6918" width="15.7265625" style="252" customWidth="1"/>
    <col min="6919" max="6920" width="16.26953125" style="252" customWidth="1"/>
    <col min="6921" max="6921" width="8.7265625" style="252"/>
    <col min="6922" max="6922" width="14.81640625" style="252" bestFit="1" customWidth="1"/>
    <col min="6923" max="6923" width="11.453125" style="252" customWidth="1"/>
    <col min="6924" max="6924" width="13.81640625" style="252" bestFit="1" customWidth="1"/>
    <col min="6925" max="6925" width="111.1796875" style="252" bestFit="1" customWidth="1"/>
    <col min="6926" max="7170" width="8.7265625" style="252"/>
    <col min="7171" max="7171" width="27.81640625" style="252" bestFit="1" customWidth="1"/>
    <col min="7172" max="7172" width="18.26953125" style="252" customWidth="1"/>
    <col min="7173" max="7173" width="7.54296875" style="252" customWidth="1"/>
    <col min="7174" max="7174" width="15.7265625" style="252" customWidth="1"/>
    <col min="7175" max="7176" width="16.26953125" style="252" customWidth="1"/>
    <col min="7177" max="7177" width="8.7265625" style="252"/>
    <col min="7178" max="7178" width="14.81640625" style="252" bestFit="1" customWidth="1"/>
    <col min="7179" max="7179" width="11.453125" style="252" customWidth="1"/>
    <col min="7180" max="7180" width="13.81640625" style="252" bestFit="1" customWidth="1"/>
    <col min="7181" max="7181" width="111.1796875" style="252" bestFit="1" customWidth="1"/>
    <col min="7182" max="7426" width="8.7265625" style="252"/>
    <col min="7427" max="7427" width="27.81640625" style="252" bestFit="1" customWidth="1"/>
    <col min="7428" max="7428" width="18.26953125" style="252" customWidth="1"/>
    <col min="7429" max="7429" width="7.54296875" style="252" customWidth="1"/>
    <col min="7430" max="7430" width="15.7265625" style="252" customWidth="1"/>
    <col min="7431" max="7432" width="16.26953125" style="252" customWidth="1"/>
    <col min="7433" max="7433" width="8.7265625" style="252"/>
    <col min="7434" max="7434" width="14.81640625" style="252" bestFit="1" customWidth="1"/>
    <col min="7435" max="7435" width="11.453125" style="252" customWidth="1"/>
    <col min="7436" max="7436" width="13.81640625" style="252" bestFit="1" customWidth="1"/>
    <col min="7437" max="7437" width="111.1796875" style="252" bestFit="1" customWidth="1"/>
    <col min="7438" max="7682" width="8.7265625" style="252"/>
    <col min="7683" max="7683" width="27.81640625" style="252" bestFit="1" customWidth="1"/>
    <col min="7684" max="7684" width="18.26953125" style="252" customWidth="1"/>
    <col min="7685" max="7685" width="7.54296875" style="252" customWidth="1"/>
    <col min="7686" max="7686" width="15.7265625" style="252" customWidth="1"/>
    <col min="7687" max="7688" width="16.26953125" style="252" customWidth="1"/>
    <col min="7689" max="7689" width="8.7265625" style="252"/>
    <col min="7690" max="7690" width="14.81640625" style="252" bestFit="1" customWidth="1"/>
    <col min="7691" max="7691" width="11.453125" style="252" customWidth="1"/>
    <col min="7692" max="7692" width="13.81640625" style="252" bestFit="1" customWidth="1"/>
    <col min="7693" max="7693" width="111.1796875" style="252" bestFit="1" customWidth="1"/>
    <col min="7694" max="7938" width="8.7265625" style="252"/>
    <col min="7939" max="7939" width="27.81640625" style="252" bestFit="1" customWidth="1"/>
    <col min="7940" max="7940" width="18.26953125" style="252" customWidth="1"/>
    <col min="7941" max="7941" width="7.54296875" style="252" customWidth="1"/>
    <col min="7942" max="7942" width="15.7265625" style="252" customWidth="1"/>
    <col min="7943" max="7944" width="16.26953125" style="252" customWidth="1"/>
    <col min="7945" max="7945" width="8.7265625" style="252"/>
    <col min="7946" max="7946" width="14.81640625" style="252" bestFit="1" customWidth="1"/>
    <col min="7947" max="7947" width="11.453125" style="252" customWidth="1"/>
    <col min="7948" max="7948" width="13.81640625" style="252" bestFit="1" customWidth="1"/>
    <col min="7949" max="7949" width="111.1796875" style="252" bestFit="1" customWidth="1"/>
    <col min="7950" max="8194" width="8.7265625" style="252"/>
    <col min="8195" max="8195" width="27.81640625" style="252" bestFit="1" customWidth="1"/>
    <col min="8196" max="8196" width="18.26953125" style="252" customWidth="1"/>
    <col min="8197" max="8197" width="7.54296875" style="252" customWidth="1"/>
    <col min="8198" max="8198" width="15.7265625" style="252" customWidth="1"/>
    <col min="8199" max="8200" width="16.26953125" style="252" customWidth="1"/>
    <col min="8201" max="8201" width="8.7265625" style="252"/>
    <col min="8202" max="8202" width="14.81640625" style="252" bestFit="1" customWidth="1"/>
    <col min="8203" max="8203" width="11.453125" style="252" customWidth="1"/>
    <col min="8204" max="8204" width="13.81640625" style="252" bestFit="1" customWidth="1"/>
    <col min="8205" max="8205" width="111.1796875" style="252" bestFit="1" customWidth="1"/>
    <col min="8206" max="8450" width="8.7265625" style="252"/>
    <col min="8451" max="8451" width="27.81640625" style="252" bestFit="1" customWidth="1"/>
    <col min="8452" max="8452" width="18.26953125" style="252" customWidth="1"/>
    <col min="8453" max="8453" width="7.54296875" style="252" customWidth="1"/>
    <col min="8454" max="8454" width="15.7265625" style="252" customWidth="1"/>
    <col min="8455" max="8456" width="16.26953125" style="252" customWidth="1"/>
    <col min="8457" max="8457" width="8.7265625" style="252"/>
    <col min="8458" max="8458" width="14.81640625" style="252" bestFit="1" customWidth="1"/>
    <col min="8459" max="8459" width="11.453125" style="252" customWidth="1"/>
    <col min="8460" max="8460" width="13.81640625" style="252" bestFit="1" customWidth="1"/>
    <col min="8461" max="8461" width="111.1796875" style="252" bestFit="1" customWidth="1"/>
    <col min="8462" max="8706" width="8.7265625" style="252"/>
    <col min="8707" max="8707" width="27.81640625" style="252" bestFit="1" customWidth="1"/>
    <col min="8708" max="8708" width="18.26953125" style="252" customWidth="1"/>
    <col min="8709" max="8709" width="7.54296875" style="252" customWidth="1"/>
    <col min="8710" max="8710" width="15.7265625" style="252" customWidth="1"/>
    <col min="8711" max="8712" width="16.26953125" style="252" customWidth="1"/>
    <col min="8713" max="8713" width="8.7265625" style="252"/>
    <col min="8714" max="8714" width="14.81640625" style="252" bestFit="1" customWidth="1"/>
    <col min="8715" max="8715" width="11.453125" style="252" customWidth="1"/>
    <col min="8716" max="8716" width="13.81640625" style="252" bestFit="1" customWidth="1"/>
    <col min="8717" max="8717" width="111.1796875" style="252" bestFit="1" customWidth="1"/>
    <col min="8718" max="8962" width="8.7265625" style="252"/>
    <col min="8963" max="8963" width="27.81640625" style="252" bestFit="1" customWidth="1"/>
    <col min="8964" max="8964" width="18.26953125" style="252" customWidth="1"/>
    <col min="8965" max="8965" width="7.54296875" style="252" customWidth="1"/>
    <col min="8966" max="8966" width="15.7265625" style="252" customWidth="1"/>
    <col min="8967" max="8968" width="16.26953125" style="252" customWidth="1"/>
    <col min="8969" max="8969" width="8.7265625" style="252"/>
    <col min="8970" max="8970" width="14.81640625" style="252" bestFit="1" customWidth="1"/>
    <col min="8971" max="8971" width="11.453125" style="252" customWidth="1"/>
    <col min="8972" max="8972" width="13.81640625" style="252" bestFit="1" customWidth="1"/>
    <col min="8973" max="8973" width="111.1796875" style="252" bestFit="1" customWidth="1"/>
    <col min="8974" max="9218" width="8.7265625" style="252"/>
    <col min="9219" max="9219" width="27.81640625" style="252" bestFit="1" customWidth="1"/>
    <col min="9220" max="9220" width="18.26953125" style="252" customWidth="1"/>
    <col min="9221" max="9221" width="7.54296875" style="252" customWidth="1"/>
    <col min="9222" max="9222" width="15.7265625" style="252" customWidth="1"/>
    <col min="9223" max="9224" width="16.26953125" style="252" customWidth="1"/>
    <col min="9225" max="9225" width="8.7265625" style="252"/>
    <col min="9226" max="9226" width="14.81640625" style="252" bestFit="1" customWidth="1"/>
    <col min="9227" max="9227" width="11.453125" style="252" customWidth="1"/>
    <col min="9228" max="9228" width="13.81640625" style="252" bestFit="1" customWidth="1"/>
    <col min="9229" max="9229" width="111.1796875" style="252" bestFit="1" customWidth="1"/>
    <col min="9230" max="9474" width="8.7265625" style="252"/>
    <col min="9475" max="9475" width="27.81640625" style="252" bestFit="1" customWidth="1"/>
    <col min="9476" max="9476" width="18.26953125" style="252" customWidth="1"/>
    <col min="9477" max="9477" width="7.54296875" style="252" customWidth="1"/>
    <col min="9478" max="9478" width="15.7265625" style="252" customWidth="1"/>
    <col min="9479" max="9480" width="16.26953125" style="252" customWidth="1"/>
    <col min="9481" max="9481" width="8.7265625" style="252"/>
    <col min="9482" max="9482" width="14.81640625" style="252" bestFit="1" customWidth="1"/>
    <col min="9483" max="9483" width="11.453125" style="252" customWidth="1"/>
    <col min="9484" max="9484" width="13.81640625" style="252" bestFit="1" customWidth="1"/>
    <col min="9485" max="9485" width="111.1796875" style="252" bestFit="1" customWidth="1"/>
    <col min="9486" max="9730" width="8.7265625" style="252"/>
    <col min="9731" max="9731" width="27.81640625" style="252" bestFit="1" customWidth="1"/>
    <col min="9732" max="9732" width="18.26953125" style="252" customWidth="1"/>
    <col min="9733" max="9733" width="7.54296875" style="252" customWidth="1"/>
    <col min="9734" max="9734" width="15.7265625" style="252" customWidth="1"/>
    <col min="9735" max="9736" width="16.26953125" style="252" customWidth="1"/>
    <col min="9737" max="9737" width="8.7265625" style="252"/>
    <col min="9738" max="9738" width="14.81640625" style="252" bestFit="1" customWidth="1"/>
    <col min="9739" max="9739" width="11.453125" style="252" customWidth="1"/>
    <col min="9740" max="9740" width="13.81640625" style="252" bestFit="1" customWidth="1"/>
    <col min="9741" max="9741" width="111.1796875" style="252" bestFit="1" customWidth="1"/>
    <col min="9742" max="9986" width="8.7265625" style="252"/>
    <col min="9987" max="9987" width="27.81640625" style="252" bestFit="1" customWidth="1"/>
    <col min="9988" max="9988" width="18.26953125" style="252" customWidth="1"/>
    <col min="9989" max="9989" width="7.54296875" style="252" customWidth="1"/>
    <col min="9990" max="9990" width="15.7265625" style="252" customWidth="1"/>
    <col min="9991" max="9992" width="16.26953125" style="252" customWidth="1"/>
    <col min="9993" max="9993" width="8.7265625" style="252"/>
    <col min="9994" max="9994" width="14.81640625" style="252" bestFit="1" customWidth="1"/>
    <col min="9995" max="9995" width="11.453125" style="252" customWidth="1"/>
    <col min="9996" max="9996" width="13.81640625" style="252" bestFit="1" customWidth="1"/>
    <col min="9997" max="9997" width="111.1796875" style="252" bestFit="1" customWidth="1"/>
    <col min="9998" max="10242" width="8.7265625" style="252"/>
    <col min="10243" max="10243" width="27.81640625" style="252" bestFit="1" customWidth="1"/>
    <col min="10244" max="10244" width="18.26953125" style="252" customWidth="1"/>
    <col min="10245" max="10245" width="7.54296875" style="252" customWidth="1"/>
    <col min="10246" max="10246" width="15.7265625" style="252" customWidth="1"/>
    <col min="10247" max="10248" width="16.26953125" style="252" customWidth="1"/>
    <col min="10249" max="10249" width="8.7265625" style="252"/>
    <col min="10250" max="10250" width="14.81640625" style="252" bestFit="1" customWidth="1"/>
    <col min="10251" max="10251" width="11.453125" style="252" customWidth="1"/>
    <col min="10252" max="10252" width="13.81640625" style="252" bestFit="1" customWidth="1"/>
    <col min="10253" max="10253" width="111.1796875" style="252" bestFit="1" customWidth="1"/>
    <col min="10254" max="10498" width="8.7265625" style="252"/>
    <col min="10499" max="10499" width="27.81640625" style="252" bestFit="1" customWidth="1"/>
    <col min="10500" max="10500" width="18.26953125" style="252" customWidth="1"/>
    <col min="10501" max="10501" width="7.54296875" style="252" customWidth="1"/>
    <col min="10502" max="10502" width="15.7265625" style="252" customWidth="1"/>
    <col min="10503" max="10504" width="16.26953125" style="252" customWidth="1"/>
    <col min="10505" max="10505" width="8.7265625" style="252"/>
    <col min="10506" max="10506" width="14.81640625" style="252" bestFit="1" customWidth="1"/>
    <col min="10507" max="10507" width="11.453125" style="252" customWidth="1"/>
    <col min="10508" max="10508" width="13.81640625" style="252" bestFit="1" customWidth="1"/>
    <col min="10509" max="10509" width="111.1796875" style="252" bestFit="1" customWidth="1"/>
    <col min="10510" max="10754" width="8.7265625" style="252"/>
    <col min="10755" max="10755" width="27.81640625" style="252" bestFit="1" customWidth="1"/>
    <col min="10756" max="10756" width="18.26953125" style="252" customWidth="1"/>
    <col min="10757" max="10757" width="7.54296875" style="252" customWidth="1"/>
    <col min="10758" max="10758" width="15.7265625" style="252" customWidth="1"/>
    <col min="10759" max="10760" width="16.26953125" style="252" customWidth="1"/>
    <col min="10761" max="10761" width="8.7265625" style="252"/>
    <col min="10762" max="10762" width="14.81640625" style="252" bestFit="1" customWidth="1"/>
    <col min="10763" max="10763" width="11.453125" style="252" customWidth="1"/>
    <col min="10764" max="10764" width="13.81640625" style="252" bestFit="1" customWidth="1"/>
    <col min="10765" max="10765" width="111.1796875" style="252" bestFit="1" customWidth="1"/>
    <col min="10766" max="11010" width="8.7265625" style="252"/>
    <col min="11011" max="11011" width="27.81640625" style="252" bestFit="1" customWidth="1"/>
    <col min="11012" max="11012" width="18.26953125" style="252" customWidth="1"/>
    <col min="11013" max="11013" width="7.54296875" style="252" customWidth="1"/>
    <col min="11014" max="11014" width="15.7265625" style="252" customWidth="1"/>
    <col min="11015" max="11016" width="16.26953125" style="252" customWidth="1"/>
    <col min="11017" max="11017" width="8.7265625" style="252"/>
    <col min="11018" max="11018" width="14.81640625" style="252" bestFit="1" customWidth="1"/>
    <col min="11019" max="11019" width="11.453125" style="252" customWidth="1"/>
    <col min="11020" max="11020" width="13.81640625" style="252" bestFit="1" customWidth="1"/>
    <col min="11021" max="11021" width="111.1796875" style="252" bestFit="1" customWidth="1"/>
    <col min="11022" max="11266" width="8.7265625" style="252"/>
    <col min="11267" max="11267" width="27.81640625" style="252" bestFit="1" customWidth="1"/>
    <col min="11268" max="11268" width="18.26953125" style="252" customWidth="1"/>
    <col min="11269" max="11269" width="7.54296875" style="252" customWidth="1"/>
    <col min="11270" max="11270" width="15.7265625" style="252" customWidth="1"/>
    <col min="11271" max="11272" width="16.26953125" style="252" customWidth="1"/>
    <col min="11273" max="11273" width="8.7265625" style="252"/>
    <col min="11274" max="11274" width="14.81640625" style="252" bestFit="1" customWidth="1"/>
    <col min="11275" max="11275" width="11.453125" style="252" customWidth="1"/>
    <col min="11276" max="11276" width="13.81640625" style="252" bestFit="1" customWidth="1"/>
    <col min="11277" max="11277" width="111.1796875" style="252" bestFit="1" customWidth="1"/>
    <col min="11278" max="11522" width="8.7265625" style="252"/>
    <col min="11523" max="11523" width="27.81640625" style="252" bestFit="1" customWidth="1"/>
    <col min="11524" max="11524" width="18.26953125" style="252" customWidth="1"/>
    <col min="11525" max="11525" width="7.54296875" style="252" customWidth="1"/>
    <col min="11526" max="11526" width="15.7265625" style="252" customWidth="1"/>
    <col min="11527" max="11528" width="16.26953125" style="252" customWidth="1"/>
    <col min="11529" max="11529" width="8.7265625" style="252"/>
    <col min="11530" max="11530" width="14.81640625" style="252" bestFit="1" customWidth="1"/>
    <col min="11531" max="11531" width="11.453125" style="252" customWidth="1"/>
    <col min="11532" max="11532" width="13.81640625" style="252" bestFit="1" customWidth="1"/>
    <col min="11533" max="11533" width="111.1796875" style="252" bestFit="1" customWidth="1"/>
    <col min="11534" max="11778" width="8.7265625" style="252"/>
    <col min="11779" max="11779" width="27.81640625" style="252" bestFit="1" customWidth="1"/>
    <col min="11780" max="11780" width="18.26953125" style="252" customWidth="1"/>
    <col min="11781" max="11781" width="7.54296875" style="252" customWidth="1"/>
    <col min="11782" max="11782" width="15.7265625" style="252" customWidth="1"/>
    <col min="11783" max="11784" width="16.26953125" style="252" customWidth="1"/>
    <col min="11785" max="11785" width="8.7265625" style="252"/>
    <col min="11786" max="11786" width="14.81640625" style="252" bestFit="1" customWidth="1"/>
    <col min="11787" max="11787" width="11.453125" style="252" customWidth="1"/>
    <col min="11788" max="11788" width="13.81640625" style="252" bestFit="1" customWidth="1"/>
    <col min="11789" max="11789" width="111.1796875" style="252" bestFit="1" customWidth="1"/>
    <col min="11790" max="12034" width="8.7265625" style="252"/>
    <col min="12035" max="12035" width="27.81640625" style="252" bestFit="1" customWidth="1"/>
    <col min="12036" max="12036" width="18.26953125" style="252" customWidth="1"/>
    <col min="12037" max="12037" width="7.54296875" style="252" customWidth="1"/>
    <col min="12038" max="12038" width="15.7265625" style="252" customWidth="1"/>
    <col min="12039" max="12040" width="16.26953125" style="252" customWidth="1"/>
    <col min="12041" max="12041" width="8.7265625" style="252"/>
    <col min="12042" max="12042" width="14.81640625" style="252" bestFit="1" customWidth="1"/>
    <col min="12043" max="12043" width="11.453125" style="252" customWidth="1"/>
    <col min="12044" max="12044" width="13.81640625" style="252" bestFit="1" customWidth="1"/>
    <col min="12045" max="12045" width="111.1796875" style="252" bestFit="1" customWidth="1"/>
    <col min="12046" max="12290" width="8.7265625" style="252"/>
    <col min="12291" max="12291" width="27.81640625" style="252" bestFit="1" customWidth="1"/>
    <col min="12292" max="12292" width="18.26953125" style="252" customWidth="1"/>
    <col min="12293" max="12293" width="7.54296875" style="252" customWidth="1"/>
    <col min="12294" max="12294" width="15.7265625" style="252" customWidth="1"/>
    <col min="12295" max="12296" width="16.26953125" style="252" customWidth="1"/>
    <col min="12297" max="12297" width="8.7265625" style="252"/>
    <col min="12298" max="12298" width="14.81640625" style="252" bestFit="1" customWidth="1"/>
    <col min="12299" max="12299" width="11.453125" style="252" customWidth="1"/>
    <col min="12300" max="12300" width="13.81640625" style="252" bestFit="1" customWidth="1"/>
    <col min="12301" max="12301" width="111.1796875" style="252" bestFit="1" customWidth="1"/>
    <col min="12302" max="12546" width="8.7265625" style="252"/>
    <col min="12547" max="12547" width="27.81640625" style="252" bestFit="1" customWidth="1"/>
    <col min="12548" max="12548" width="18.26953125" style="252" customWidth="1"/>
    <col min="12549" max="12549" width="7.54296875" style="252" customWidth="1"/>
    <col min="12550" max="12550" width="15.7265625" style="252" customWidth="1"/>
    <col min="12551" max="12552" width="16.26953125" style="252" customWidth="1"/>
    <col min="12553" max="12553" width="8.7265625" style="252"/>
    <col min="12554" max="12554" width="14.81640625" style="252" bestFit="1" customWidth="1"/>
    <col min="12555" max="12555" width="11.453125" style="252" customWidth="1"/>
    <col min="12556" max="12556" width="13.81640625" style="252" bestFit="1" customWidth="1"/>
    <col min="12557" max="12557" width="111.1796875" style="252" bestFit="1" customWidth="1"/>
    <col min="12558" max="12802" width="8.7265625" style="252"/>
    <col min="12803" max="12803" width="27.81640625" style="252" bestFit="1" customWidth="1"/>
    <col min="12804" max="12804" width="18.26953125" style="252" customWidth="1"/>
    <col min="12805" max="12805" width="7.54296875" style="252" customWidth="1"/>
    <col min="12806" max="12806" width="15.7265625" style="252" customWidth="1"/>
    <col min="12807" max="12808" width="16.26953125" style="252" customWidth="1"/>
    <col min="12809" max="12809" width="8.7265625" style="252"/>
    <col min="12810" max="12810" width="14.81640625" style="252" bestFit="1" customWidth="1"/>
    <col min="12811" max="12811" width="11.453125" style="252" customWidth="1"/>
    <col min="12812" max="12812" width="13.81640625" style="252" bestFit="1" customWidth="1"/>
    <col min="12813" max="12813" width="111.1796875" style="252" bestFit="1" customWidth="1"/>
    <col min="12814" max="13058" width="8.7265625" style="252"/>
    <col min="13059" max="13059" width="27.81640625" style="252" bestFit="1" customWidth="1"/>
    <col min="13060" max="13060" width="18.26953125" style="252" customWidth="1"/>
    <col min="13061" max="13061" width="7.54296875" style="252" customWidth="1"/>
    <col min="13062" max="13062" width="15.7265625" style="252" customWidth="1"/>
    <col min="13063" max="13064" width="16.26953125" style="252" customWidth="1"/>
    <col min="13065" max="13065" width="8.7265625" style="252"/>
    <col min="13066" max="13066" width="14.81640625" style="252" bestFit="1" customWidth="1"/>
    <col min="13067" max="13067" width="11.453125" style="252" customWidth="1"/>
    <col min="13068" max="13068" width="13.81640625" style="252" bestFit="1" customWidth="1"/>
    <col min="13069" max="13069" width="111.1796875" style="252" bestFit="1" customWidth="1"/>
    <col min="13070" max="13314" width="8.7265625" style="252"/>
    <col min="13315" max="13315" width="27.81640625" style="252" bestFit="1" customWidth="1"/>
    <col min="13316" max="13316" width="18.26953125" style="252" customWidth="1"/>
    <col min="13317" max="13317" width="7.54296875" style="252" customWidth="1"/>
    <col min="13318" max="13318" width="15.7265625" style="252" customWidth="1"/>
    <col min="13319" max="13320" width="16.26953125" style="252" customWidth="1"/>
    <col min="13321" max="13321" width="8.7265625" style="252"/>
    <col min="13322" max="13322" width="14.81640625" style="252" bestFit="1" customWidth="1"/>
    <col min="13323" max="13323" width="11.453125" style="252" customWidth="1"/>
    <col min="13324" max="13324" width="13.81640625" style="252" bestFit="1" customWidth="1"/>
    <col min="13325" max="13325" width="111.1796875" style="252" bestFit="1" customWidth="1"/>
    <col min="13326" max="13570" width="8.7265625" style="252"/>
    <col min="13571" max="13571" width="27.81640625" style="252" bestFit="1" customWidth="1"/>
    <col min="13572" max="13572" width="18.26953125" style="252" customWidth="1"/>
    <col min="13573" max="13573" width="7.54296875" style="252" customWidth="1"/>
    <col min="13574" max="13574" width="15.7265625" style="252" customWidth="1"/>
    <col min="13575" max="13576" width="16.26953125" style="252" customWidth="1"/>
    <col min="13577" max="13577" width="8.7265625" style="252"/>
    <col min="13578" max="13578" width="14.81640625" style="252" bestFit="1" customWidth="1"/>
    <col min="13579" max="13579" width="11.453125" style="252" customWidth="1"/>
    <col min="13580" max="13580" width="13.81640625" style="252" bestFit="1" customWidth="1"/>
    <col min="13581" max="13581" width="111.1796875" style="252" bestFit="1" customWidth="1"/>
    <col min="13582" max="13826" width="8.7265625" style="252"/>
    <col min="13827" max="13827" width="27.81640625" style="252" bestFit="1" customWidth="1"/>
    <col min="13828" max="13828" width="18.26953125" style="252" customWidth="1"/>
    <col min="13829" max="13829" width="7.54296875" style="252" customWidth="1"/>
    <col min="13830" max="13830" width="15.7265625" style="252" customWidth="1"/>
    <col min="13831" max="13832" width="16.26953125" style="252" customWidth="1"/>
    <col min="13833" max="13833" width="8.7265625" style="252"/>
    <col min="13834" max="13834" width="14.81640625" style="252" bestFit="1" customWidth="1"/>
    <col min="13835" max="13835" width="11.453125" style="252" customWidth="1"/>
    <col min="13836" max="13836" width="13.81640625" style="252" bestFit="1" customWidth="1"/>
    <col min="13837" max="13837" width="111.1796875" style="252" bestFit="1" customWidth="1"/>
    <col min="13838" max="14082" width="8.7265625" style="252"/>
    <col min="14083" max="14083" width="27.81640625" style="252" bestFit="1" customWidth="1"/>
    <col min="14084" max="14084" width="18.26953125" style="252" customWidth="1"/>
    <col min="14085" max="14085" width="7.54296875" style="252" customWidth="1"/>
    <col min="14086" max="14086" width="15.7265625" style="252" customWidth="1"/>
    <col min="14087" max="14088" width="16.26953125" style="252" customWidth="1"/>
    <col min="14089" max="14089" width="8.7265625" style="252"/>
    <col min="14090" max="14090" width="14.81640625" style="252" bestFit="1" customWidth="1"/>
    <col min="14091" max="14091" width="11.453125" style="252" customWidth="1"/>
    <col min="14092" max="14092" width="13.81640625" style="252" bestFit="1" customWidth="1"/>
    <col min="14093" max="14093" width="111.1796875" style="252" bestFit="1" customWidth="1"/>
    <col min="14094" max="14338" width="8.7265625" style="252"/>
    <col min="14339" max="14339" width="27.81640625" style="252" bestFit="1" customWidth="1"/>
    <col min="14340" max="14340" width="18.26953125" style="252" customWidth="1"/>
    <col min="14341" max="14341" width="7.54296875" style="252" customWidth="1"/>
    <col min="14342" max="14342" width="15.7265625" style="252" customWidth="1"/>
    <col min="14343" max="14344" width="16.26953125" style="252" customWidth="1"/>
    <col min="14345" max="14345" width="8.7265625" style="252"/>
    <col min="14346" max="14346" width="14.81640625" style="252" bestFit="1" customWidth="1"/>
    <col min="14347" max="14347" width="11.453125" style="252" customWidth="1"/>
    <col min="14348" max="14348" width="13.81640625" style="252" bestFit="1" customWidth="1"/>
    <col min="14349" max="14349" width="111.1796875" style="252" bestFit="1" customWidth="1"/>
    <col min="14350" max="14594" width="8.7265625" style="252"/>
    <col min="14595" max="14595" width="27.81640625" style="252" bestFit="1" customWidth="1"/>
    <col min="14596" max="14596" width="18.26953125" style="252" customWidth="1"/>
    <col min="14597" max="14597" width="7.54296875" style="252" customWidth="1"/>
    <col min="14598" max="14598" width="15.7265625" style="252" customWidth="1"/>
    <col min="14599" max="14600" width="16.26953125" style="252" customWidth="1"/>
    <col min="14601" max="14601" width="8.7265625" style="252"/>
    <col min="14602" max="14602" width="14.81640625" style="252" bestFit="1" customWidth="1"/>
    <col min="14603" max="14603" width="11.453125" style="252" customWidth="1"/>
    <col min="14604" max="14604" width="13.81640625" style="252" bestFit="1" customWidth="1"/>
    <col min="14605" max="14605" width="111.1796875" style="252" bestFit="1" customWidth="1"/>
    <col min="14606" max="14850" width="8.7265625" style="252"/>
    <col min="14851" max="14851" width="27.81640625" style="252" bestFit="1" customWidth="1"/>
    <col min="14852" max="14852" width="18.26953125" style="252" customWidth="1"/>
    <col min="14853" max="14853" width="7.54296875" style="252" customWidth="1"/>
    <col min="14854" max="14854" width="15.7265625" style="252" customWidth="1"/>
    <col min="14855" max="14856" width="16.26953125" style="252" customWidth="1"/>
    <col min="14857" max="14857" width="8.7265625" style="252"/>
    <col min="14858" max="14858" width="14.81640625" style="252" bestFit="1" customWidth="1"/>
    <col min="14859" max="14859" width="11.453125" style="252" customWidth="1"/>
    <col min="14860" max="14860" width="13.81640625" style="252" bestFit="1" customWidth="1"/>
    <col min="14861" max="14861" width="111.1796875" style="252" bestFit="1" customWidth="1"/>
    <col min="14862" max="15106" width="8.7265625" style="252"/>
    <col min="15107" max="15107" width="27.81640625" style="252" bestFit="1" customWidth="1"/>
    <col min="15108" max="15108" width="18.26953125" style="252" customWidth="1"/>
    <col min="15109" max="15109" width="7.54296875" style="252" customWidth="1"/>
    <col min="15110" max="15110" width="15.7265625" style="252" customWidth="1"/>
    <col min="15111" max="15112" width="16.26953125" style="252" customWidth="1"/>
    <col min="15113" max="15113" width="8.7265625" style="252"/>
    <col min="15114" max="15114" width="14.81640625" style="252" bestFit="1" customWidth="1"/>
    <col min="15115" max="15115" width="11.453125" style="252" customWidth="1"/>
    <col min="15116" max="15116" width="13.81640625" style="252" bestFit="1" customWidth="1"/>
    <col min="15117" max="15117" width="111.1796875" style="252" bestFit="1" customWidth="1"/>
    <col min="15118" max="15362" width="8.7265625" style="252"/>
    <col min="15363" max="15363" width="27.81640625" style="252" bestFit="1" customWidth="1"/>
    <col min="15364" max="15364" width="18.26953125" style="252" customWidth="1"/>
    <col min="15365" max="15365" width="7.54296875" style="252" customWidth="1"/>
    <col min="15366" max="15366" width="15.7265625" style="252" customWidth="1"/>
    <col min="15367" max="15368" width="16.26953125" style="252" customWidth="1"/>
    <col min="15369" max="15369" width="8.7265625" style="252"/>
    <col min="15370" max="15370" width="14.81640625" style="252" bestFit="1" customWidth="1"/>
    <col min="15371" max="15371" width="11.453125" style="252" customWidth="1"/>
    <col min="15372" max="15372" width="13.81640625" style="252" bestFit="1" customWidth="1"/>
    <col min="15373" max="15373" width="111.1796875" style="252" bestFit="1" customWidth="1"/>
    <col min="15374" max="15618" width="8.7265625" style="252"/>
    <col min="15619" max="15619" width="27.81640625" style="252" bestFit="1" customWidth="1"/>
    <col min="15620" max="15620" width="18.26953125" style="252" customWidth="1"/>
    <col min="15621" max="15621" width="7.54296875" style="252" customWidth="1"/>
    <col min="15622" max="15622" width="15.7265625" style="252" customWidth="1"/>
    <col min="15623" max="15624" width="16.26953125" style="252" customWidth="1"/>
    <col min="15625" max="15625" width="8.7265625" style="252"/>
    <col min="15626" max="15626" width="14.81640625" style="252" bestFit="1" customWidth="1"/>
    <col min="15627" max="15627" width="11.453125" style="252" customWidth="1"/>
    <col min="15628" max="15628" width="13.81640625" style="252" bestFit="1" customWidth="1"/>
    <col min="15629" max="15629" width="111.1796875" style="252" bestFit="1" customWidth="1"/>
    <col min="15630" max="15874" width="8.7265625" style="252"/>
    <col min="15875" max="15875" width="27.81640625" style="252" bestFit="1" customWidth="1"/>
    <col min="15876" max="15876" width="18.26953125" style="252" customWidth="1"/>
    <col min="15877" max="15877" width="7.54296875" style="252" customWidth="1"/>
    <col min="15878" max="15878" width="15.7265625" style="252" customWidth="1"/>
    <col min="15879" max="15880" width="16.26953125" style="252" customWidth="1"/>
    <col min="15881" max="15881" width="8.7265625" style="252"/>
    <col min="15882" max="15882" width="14.81640625" style="252" bestFit="1" customWidth="1"/>
    <col min="15883" max="15883" width="11.453125" style="252" customWidth="1"/>
    <col min="15884" max="15884" width="13.81640625" style="252" bestFit="1" customWidth="1"/>
    <col min="15885" max="15885" width="111.1796875" style="252" bestFit="1" customWidth="1"/>
    <col min="15886" max="16130" width="8.7265625" style="252"/>
    <col min="16131" max="16131" width="27.81640625" style="252" bestFit="1" customWidth="1"/>
    <col min="16132" max="16132" width="18.26953125" style="252" customWidth="1"/>
    <col min="16133" max="16133" width="7.54296875" style="252" customWidth="1"/>
    <col min="16134" max="16134" width="15.7265625" style="252" customWidth="1"/>
    <col min="16135" max="16136" width="16.26953125" style="252" customWidth="1"/>
    <col min="16137" max="16137" width="8.7265625" style="252"/>
    <col min="16138" max="16138" width="14.81640625" style="252" bestFit="1" customWidth="1"/>
    <col min="16139" max="16139" width="11.453125" style="252" customWidth="1"/>
    <col min="16140" max="16140" width="13.81640625" style="252" bestFit="1" customWidth="1"/>
    <col min="16141" max="16141" width="111.1796875" style="252" bestFit="1" customWidth="1"/>
    <col min="16142" max="16384" width="8.7265625" style="252"/>
  </cols>
  <sheetData>
    <row r="1" spans="1:13" ht="16" thickBot="1">
      <c r="A1" s="299" t="s">
        <v>225</v>
      </c>
      <c r="B1" s="300"/>
      <c r="C1" s="300"/>
      <c r="D1" s="306"/>
      <c r="E1" s="300"/>
      <c r="F1" s="300"/>
      <c r="G1" s="300"/>
      <c r="H1" s="300"/>
      <c r="I1" s="300"/>
      <c r="J1" s="300"/>
      <c r="K1" s="300"/>
      <c r="L1" s="300"/>
      <c r="M1" s="300"/>
    </row>
    <row r="2" spans="1:13" ht="62.5" thickBot="1">
      <c r="A2" s="254" t="s">
        <v>56</v>
      </c>
      <c r="B2" s="255" t="s">
        <v>57</v>
      </c>
      <c r="C2" s="255" t="s">
        <v>58</v>
      </c>
      <c r="D2" s="256" t="s">
        <v>59</v>
      </c>
      <c r="E2" s="255" t="s">
        <v>60</v>
      </c>
      <c r="F2" s="255" t="s">
        <v>226</v>
      </c>
      <c r="G2" s="315" t="s">
        <v>288</v>
      </c>
      <c r="H2" s="256" t="s">
        <v>170</v>
      </c>
      <c r="I2" s="255" t="s">
        <v>227</v>
      </c>
      <c r="J2" s="89" t="s">
        <v>191</v>
      </c>
      <c r="K2" s="89" t="s">
        <v>190</v>
      </c>
      <c r="L2" s="255" t="s">
        <v>228</v>
      </c>
      <c r="M2" s="257" t="s">
        <v>61</v>
      </c>
    </row>
    <row r="3" spans="1:13">
      <c r="A3" s="273" t="s">
        <v>271</v>
      </c>
      <c r="B3" s="274" t="s">
        <v>64</v>
      </c>
      <c r="C3" s="274" t="s">
        <v>65</v>
      </c>
      <c r="D3" s="275" t="s">
        <v>230</v>
      </c>
      <c r="E3" s="276">
        <v>889900</v>
      </c>
      <c r="F3" s="277">
        <f>2927/43560</f>
        <v>0.0671946740128558</v>
      </c>
      <c r="G3" s="276">
        <f t="shared" ref="G3:G17" si="0">E3/(F3*43560)</f>
        <v>304.031431499829</v>
      </c>
      <c r="H3" s="278">
        <v>2532</v>
      </c>
      <c r="I3" s="276">
        <f t="shared" ref="I3:I17" si="1">E3/H3</f>
        <v>351.461295418641</v>
      </c>
      <c r="J3" s="279" t="s">
        <v>66</v>
      </c>
      <c r="K3" s="279" t="s">
        <v>66</v>
      </c>
      <c r="L3" s="280">
        <v>2017</v>
      </c>
      <c r="M3" s="281" t="s">
        <v>241</v>
      </c>
    </row>
    <row r="4" spans="1:13">
      <c r="A4" s="273" t="s">
        <v>234</v>
      </c>
      <c r="B4" s="274" t="s">
        <v>64</v>
      </c>
      <c r="C4" s="274" t="s">
        <v>65</v>
      </c>
      <c r="D4" s="275">
        <v>46218</v>
      </c>
      <c r="E4" s="276">
        <v>985000</v>
      </c>
      <c r="F4" s="277">
        <f>5629/43560</f>
        <v>0.129224058769513</v>
      </c>
      <c r="G4" s="276">
        <f t="shared" si="0"/>
        <v>174.986676141411</v>
      </c>
      <c r="H4" s="278">
        <v>2775</v>
      </c>
      <c r="I4" s="276">
        <f t="shared" si="1"/>
        <v>354.954954954955</v>
      </c>
      <c r="J4" s="279" t="s">
        <v>66</v>
      </c>
      <c r="K4" s="279" t="s">
        <v>66</v>
      </c>
      <c r="L4" s="280">
        <v>2025</v>
      </c>
      <c r="M4" s="281" t="s">
        <v>235</v>
      </c>
    </row>
    <row r="5" spans="1:13">
      <c r="A5" s="273" t="s">
        <v>278</v>
      </c>
      <c r="B5" s="274" t="s">
        <v>64</v>
      </c>
      <c r="C5" s="274" t="s">
        <v>65</v>
      </c>
      <c r="D5" s="275">
        <v>46175</v>
      </c>
      <c r="E5" s="276">
        <v>1150000</v>
      </c>
      <c r="F5" s="277">
        <v>0.33</v>
      </c>
      <c r="G5" s="276">
        <f t="shared" si="0"/>
        <v>80.0011130589643</v>
      </c>
      <c r="H5" s="278">
        <v>2504</v>
      </c>
      <c r="I5" s="276">
        <f t="shared" si="1"/>
        <v>459.26517571885</v>
      </c>
      <c r="J5" s="279" t="s">
        <v>71</v>
      </c>
      <c r="K5" s="279" t="s">
        <v>66</v>
      </c>
      <c r="L5" s="280">
        <v>2018</v>
      </c>
      <c r="M5" s="281" t="s">
        <v>243</v>
      </c>
    </row>
    <row r="6" spans="1:13">
      <c r="A6" s="273" t="s">
        <v>272</v>
      </c>
      <c r="B6" s="274" t="s">
        <v>64</v>
      </c>
      <c r="C6" s="274" t="s">
        <v>65</v>
      </c>
      <c r="D6" s="275">
        <v>46128</v>
      </c>
      <c r="E6" s="276">
        <v>1400000</v>
      </c>
      <c r="F6" s="277">
        <f>4140/43560</f>
        <v>0.0950413223140496</v>
      </c>
      <c r="G6" s="276">
        <f t="shared" si="0"/>
        <v>338.16425120773</v>
      </c>
      <c r="H6" s="278">
        <v>3139</v>
      </c>
      <c r="I6" s="276">
        <f t="shared" si="1"/>
        <v>446.001911436763</v>
      </c>
      <c r="J6" s="279" t="s">
        <v>71</v>
      </c>
      <c r="K6" s="279" t="s">
        <v>66</v>
      </c>
      <c r="L6" s="280">
        <v>2013</v>
      </c>
      <c r="M6" s="281" t="s">
        <v>275</v>
      </c>
    </row>
    <row r="7" spans="1:13">
      <c r="A7" s="273" t="s">
        <v>273</v>
      </c>
      <c r="B7" s="274" t="s">
        <v>64</v>
      </c>
      <c r="C7" s="274" t="s">
        <v>65</v>
      </c>
      <c r="D7" s="275">
        <v>46113</v>
      </c>
      <c r="E7" s="276">
        <v>675000</v>
      </c>
      <c r="F7" s="277">
        <f>2047/43560</f>
        <v>0.0469926538108356</v>
      </c>
      <c r="G7" s="276">
        <f t="shared" si="0"/>
        <v>329.750854909624</v>
      </c>
      <c r="H7" s="278">
        <v>1408</v>
      </c>
      <c r="I7" s="276">
        <f t="shared" si="1"/>
        <v>479.403409090909</v>
      </c>
      <c r="J7" s="279" t="s">
        <v>71</v>
      </c>
      <c r="K7" s="279" t="s">
        <v>66</v>
      </c>
      <c r="L7" s="280">
        <v>2006</v>
      </c>
      <c r="M7" s="281" t="s">
        <v>274</v>
      </c>
    </row>
    <row r="8" spans="1:13">
      <c r="A8" s="273" t="s">
        <v>232</v>
      </c>
      <c r="B8" s="274" t="s">
        <v>64</v>
      </c>
      <c r="C8" s="274" t="s">
        <v>65</v>
      </c>
      <c r="D8" s="275">
        <v>46024</v>
      </c>
      <c r="E8" s="276">
        <v>895000</v>
      </c>
      <c r="F8" s="277">
        <f>5845/43560</f>
        <v>0.134182736455464</v>
      </c>
      <c r="G8" s="276">
        <f t="shared" si="0"/>
        <v>153.122326775021</v>
      </c>
      <c r="H8" s="278">
        <v>2500</v>
      </c>
      <c r="I8" s="276">
        <f>E8/H8</f>
        <v>358</v>
      </c>
      <c r="J8" s="279" t="s">
        <v>66</v>
      </c>
      <c r="K8" s="279" t="s">
        <v>66</v>
      </c>
      <c r="L8" s="280">
        <v>2025</v>
      </c>
      <c r="M8" s="281" t="s">
        <v>233</v>
      </c>
    </row>
    <row r="9" spans="1:13">
      <c r="A9" s="273" t="s">
        <v>229</v>
      </c>
      <c r="B9" s="274" t="s">
        <v>64</v>
      </c>
      <c r="C9" s="274" t="s">
        <v>65</v>
      </c>
      <c r="D9" s="275">
        <v>45903</v>
      </c>
      <c r="E9" s="276">
        <v>906500</v>
      </c>
      <c r="F9" s="277">
        <f>5203/43560</f>
        <v>0.119444444444444</v>
      </c>
      <c r="G9" s="276">
        <f t="shared" si="0"/>
        <v>174.22640784163</v>
      </c>
      <c r="H9" s="278">
        <v>2283</v>
      </c>
      <c r="I9" s="276">
        <f>E9/H9</f>
        <v>397.06526500219</v>
      </c>
      <c r="J9" s="279" t="s">
        <v>66</v>
      </c>
      <c r="K9" s="279" t="s">
        <v>66</v>
      </c>
      <c r="L9" s="280">
        <v>2005</v>
      </c>
      <c r="M9" s="281" t="s">
        <v>231</v>
      </c>
    </row>
    <row r="10" spans="1:13">
      <c r="A10" s="273" t="s">
        <v>277</v>
      </c>
      <c r="B10" s="274" t="s">
        <v>64</v>
      </c>
      <c r="C10" s="274" t="s">
        <v>65</v>
      </c>
      <c r="D10" s="275">
        <v>45805</v>
      </c>
      <c r="E10" s="276">
        <v>850000</v>
      </c>
      <c r="F10" s="277">
        <f>5750/43560</f>
        <v>0.132001836547291</v>
      </c>
      <c r="G10" s="276">
        <f t="shared" si="0"/>
        <v>147.826086956522</v>
      </c>
      <c r="H10" s="278">
        <v>3359</v>
      </c>
      <c r="I10" s="276">
        <f t="shared" si="1"/>
        <v>253.051503423638</v>
      </c>
      <c r="J10" s="279" t="s">
        <v>66</v>
      </c>
      <c r="K10" s="279" t="s">
        <v>66</v>
      </c>
      <c r="L10" s="280">
        <v>2001</v>
      </c>
      <c r="M10" s="281" t="s">
        <v>239</v>
      </c>
    </row>
    <row r="11" spans="1:13">
      <c r="A11" s="273" t="s">
        <v>276</v>
      </c>
      <c r="B11" s="274" t="s">
        <v>64</v>
      </c>
      <c r="C11" s="274" t="s">
        <v>65</v>
      </c>
      <c r="D11" s="275">
        <v>45774</v>
      </c>
      <c r="E11" s="276">
        <v>790000</v>
      </c>
      <c r="F11" s="277">
        <f>5000/43560</f>
        <v>0.114784205693297</v>
      </c>
      <c r="G11" s="276">
        <f t="shared" si="0"/>
        <v>158</v>
      </c>
      <c r="H11" s="278">
        <v>1728</v>
      </c>
      <c r="I11" s="276">
        <f t="shared" si="1"/>
        <v>457.175925925926</v>
      </c>
      <c r="J11" s="279" t="s">
        <v>66</v>
      </c>
      <c r="K11" s="279" t="s">
        <v>66</v>
      </c>
      <c r="L11" s="280">
        <v>1993</v>
      </c>
      <c r="M11" s="281" t="s">
        <v>274</v>
      </c>
    </row>
    <row r="12" spans="1:13">
      <c r="A12" s="273" t="s">
        <v>236</v>
      </c>
      <c r="B12" s="274" t="s">
        <v>64</v>
      </c>
      <c r="C12" s="274" t="s">
        <v>65</v>
      </c>
      <c r="D12" s="275">
        <v>45649</v>
      </c>
      <c r="E12" s="276">
        <v>875000</v>
      </c>
      <c r="F12" s="277">
        <v>6.8000000000000005E-2</v>
      </c>
      <c r="G12" s="276">
        <f t="shared" si="0"/>
        <v>295.400529357749</v>
      </c>
      <c r="H12" s="278">
        <v>2925</v>
      </c>
      <c r="I12" s="276">
        <f t="shared" si="1"/>
        <v>299.145299145299</v>
      </c>
      <c r="J12" s="279" t="s">
        <v>66</v>
      </c>
      <c r="K12" s="279" t="s">
        <v>66</v>
      </c>
      <c r="L12" s="280">
        <v>2020</v>
      </c>
      <c r="M12" s="281" t="s">
        <v>237</v>
      </c>
    </row>
    <row r="13" spans="1:13">
      <c r="A13" s="273" t="s">
        <v>238</v>
      </c>
      <c r="B13" s="274" t="s">
        <v>64</v>
      </c>
      <c r="C13" s="274" t="s">
        <v>65</v>
      </c>
      <c r="D13" s="282">
        <v>45635</v>
      </c>
      <c r="E13" s="276">
        <v>820000</v>
      </c>
      <c r="F13" s="277">
        <f>6448/43560</f>
        <v>0.148025711662075</v>
      </c>
      <c r="G13" s="276">
        <f t="shared" si="0"/>
        <v>127.171215880893</v>
      </c>
      <c r="H13" s="278">
        <f>E13/353</f>
        <v>2322.94617563739</v>
      </c>
      <c r="I13" s="276">
        <f t="shared" si="1"/>
        <v>353</v>
      </c>
      <c r="J13" s="279" t="s">
        <v>66</v>
      </c>
      <c r="K13" s="279" t="s">
        <v>66</v>
      </c>
      <c r="L13" s="280">
        <v>1997</v>
      </c>
      <c r="M13" s="281" t="s">
        <v>239</v>
      </c>
    </row>
    <row r="14" spans="1:13">
      <c r="A14" s="273" t="s">
        <v>240</v>
      </c>
      <c r="B14" s="274" t="s">
        <v>64</v>
      </c>
      <c r="C14" s="274" t="s">
        <v>65</v>
      </c>
      <c r="D14" s="282">
        <v>45527</v>
      </c>
      <c r="E14" s="276">
        <v>940000</v>
      </c>
      <c r="F14" s="277">
        <f>5152/43560</f>
        <v>0.118273645546373</v>
      </c>
      <c r="G14" s="276">
        <f t="shared" si="0"/>
        <v>182.453416149068</v>
      </c>
      <c r="H14" s="278">
        <v>2962</v>
      </c>
      <c r="I14" s="276">
        <f>E14/H14</f>
        <v>317.353139770425</v>
      </c>
      <c r="J14" s="279" t="s">
        <v>66</v>
      </c>
      <c r="K14" s="279" t="s">
        <v>66</v>
      </c>
      <c r="L14" s="280">
        <v>2019</v>
      </c>
      <c r="M14" s="281" t="s">
        <v>241</v>
      </c>
    </row>
    <row r="15" spans="1:13">
      <c r="A15" s="273" t="s">
        <v>242</v>
      </c>
      <c r="B15" s="274" t="s">
        <v>64</v>
      </c>
      <c r="C15" s="274" t="s">
        <v>65</v>
      </c>
      <c r="D15" s="282">
        <v>45170</v>
      </c>
      <c r="E15" s="276">
        <v>879900</v>
      </c>
      <c r="F15" s="277">
        <v>0.11700000000000001</v>
      </c>
      <c r="G15" s="276">
        <f t="shared" si="0"/>
        <v>172.647218101764</v>
      </c>
      <c r="H15" s="278">
        <v>1776</v>
      </c>
      <c r="I15" s="276">
        <f t="shared" si="1"/>
        <v>495.439189189189</v>
      </c>
      <c r="J15" s="279" t="s">
        <v>71</v>
      </c>
      <c r="K15" s="279" t="s">
        <v>66</v>
      </c>
      <c r="L15" s="280">
        <v>1997</v>
      </c>
      <c r="M15" s="281" t="s">
        <v>243</v>
      </c>
    </row>
    <row r="16" spans="1:13">
      <c r="A16" s="273" t="s">
        <v>244</v>
      </c>
      <c r="B16" s="274" t="s">
        <v>64</v>
      </c>
      <c r="C16" s="274" t="s">
        <v>65</v>
      </c>
      <c r="D16" s="282">
        <v>45002</v>
      </c>
      <c r="E16" s="276">
        <v>769000</v>
      </c>
      <c r="F16" s="277">
        <v>9.7000000000000003E-2</v>
      </c>
      <c r="G16" s="276">
        <f t="shared" si="0"/>
        <v>181.998049851846</v>
      </c>
      <c r="H16" s="278">
        <v>1746</v>
      </c>
      <c r="I16" s="276">
        <f t="shared" si="1"/>
        <v>440.435280641466</v>
      </c>
      <c r="J16" s="279" t="s">
        <v>71</v>
      </c>
      <c r="K16" s="279" t="s">
        <v>66</v>
      </c>
      <c r="L16" s="280">
        <v>2006</v>
      </c>
      <c r="M16" s="281" t="s">
        <v>245</v>
      </c>
    </row>
    <row r="17" spans="1:13" ht="16" thickBot="1">
      <c r="A17" s="283" t="s">
        <v>246</v>
      </c>
      <c r="B17" s="284" t="s">
        <v>64</v>
      </c>
      <c r="C17" s="284" t="s">
        <v>65</v>
      </c>
      <c r="D17" s="285">
        <v>44775</v>
      </c>
      <c r="E17" s="286">
        <v>799000</v>
      </c>
      <c r="F17" s="287">
        <v>9.7000000000000003E-2</v>
      </c>
      <c r="G17" s="286">
        <f t="shared" si="0"/>
        <v>189.098103812256</v>
      </c>
      <c r="H17" s="288">
        <v>1790</v>
      </c>
      <c r="I17" s="286">
        <f t="shared" si="1"/>
        <v>446.368715083799</v>
      </c>
      <c r="J17" s="289" t="s">
        <v>71</v>
      </c>
      <c r="K17" s="289" t="s">
        <v>66</v>
      </c>
      <c r="L17" s="290">
        <v>2002</v>
      </c>
      <c r="M17" s="291" t="s">
        <v>245</v>
      </c>
    </row>
    <row r="18" spans="1:13" ht="16" thickBot="1">
      <c r="A18" s="292" t="s">
        <v>51</v>
      </c>
      <c r="B18" s="293"/>
      <c r="C18" s="293"/>
      <c r="D18" s="285"/>
      <c r="E18" s="294">
        <f>AVERAGE(E3:E17)</f>
        <v>908286.666666667</v>
      </c>
      <c r="F18" s="295">
        <f>AVERAGE(F3:F17)</f>
        <v>0.12094435261708</v>
      </c>
      <c r="G18" s="294">
        <f>AVERAGE(G3:G17)</f>
        <v>200.591845436287</v>
      </c>
      <c r="H18" s="296">
        <f>AVERAGE(H3:H17)</f>
        <v>2383.32974504249</v>
      </c>
      <c r="I18" s="294">
        <f>AVERAGE(I3:I17)</f>
        <v>393.87473765347</v>
      </c>
      <c r="J18" s="297"/>
      <c r="K18" s="297"/>
      <c r="L18" s="298">
        <f>AVERAGE(L3:L17)</f>
        <v>2009.6</v>
      </c>
      <c r="M18" s="291"/>
    </row>
    <row r="19" spans="1:13">
      <c r="A19" s="299"/>
      <c r="B19" s="300"/>
      <c r="C19" s="300"/>
      <c r="D19" s="282"/>
      <c r="E19" s="301"/>
      <c r="F19" s="302"/>
      <c r="G19" s="302"/>
      <c r="H19" s="303"/>
      <c r="I19" s="301"/>
      <c r="J19" s="304"/>
      <c r="K19" s="304"/>
      <c r="L19" s="305"/>
      <c r="M19" s="274"/>
    </row>
    <row r="20" spans="1:13" ht="16" thickBot="1">
      <c r="A20" s="299" t="s">
        <v>247</v>
      </c>
      <c r="B20" s="300"/>
      <c r="C20" s="300"/>
      <c r="D20" s="282"/>
      <c r="E20" s="276"/>
      <c r="F20" s="277"/>
      <c r="G20" s="277"/>
      <c r="H20" s="278"/>
      <c r="I20" s="276"/>
      <c r="J20" s="276"/>
      <c r="K20" s="276"/>
      <c r="L20" s="280"/>
      <c r="M20" s="300"/>
    </row>
    <row r="21" spans="1:13" ht="62.5" thickBot="1">
      <c r="A21" s="254" t="s">
        <v>56</v>
      </c>
      <c r="B21" s="255" t="s">
        <v>57</v>
      </c>
      <c r="C21" s="255" t="s">
        <v>58</v>
      </c>
      <c r="D21" s="256" t="s">
        <v>59</v>
      </c>
      <c r="E21" s="255" t="s">
        <v>60</v>
      </c>
      <c r="F21" s="255" t="s">
        <v>226</v>
      </c>
      <c r="G21" s="255"/>
      <c r="H21" s="256" t="s">
        <v>170</v>
      </c>
      <c r="I21" s="255" t="s">
        <v>227</v>
      </c>
      <c r="J21" s="89" t="s">
        <v>191</v>
      </c>
      <c r="K21" s="89" t="s">
        <v>190</v>
      </c>
      <c r="L21" s="255" t="s">
        <v>228</v>
      </c>
      <c r="M21" s="257" t="s">
        <v>61</v>
      </c>
    </row>
    <row r="22" spans="1:13">
      <c r="A22" s="273" t="s">
        <v>279</v>
      </c>
      <c r="B22" s="274" t="s">
        <v>64</v>
      </c>
      <c r="C22" s="274" t="s">
        <v>65</v>
      </c>
      <c r="D22" s="275">
        <v>46163</v>
      </c>
      <c r="E22" s="276">
        <v>1515000</v>
      </c>
      <c r="F22" s="277">
        <f>8002/43560</f>
        <v>0.183700642791552</v>
      </c>
      <c r="G22" s="277"/>
      <c r="H22" s="278">
        <v>4784</v>
      </c>
      <c r="I22" s="276">
        <f t="shared" ref="I22:I40" si="2">E22/H22</f>
        <v>316.680602006689</v>
      </c>
      <c r="J22" s="279" t="s">
        <v>66</v>
      </c>
      <c r="K22" s="279" t="s">
        <v>66</v>
      </c>
      <c r="L22" s="280">
        <v>1997</v>
      </c>
      <c r="M22" s="281" t="s">
        <v>280</v>
      </c>
    </row>
    <row r="23" spans="1:13">
      <c r="A23" s="273" t="s">
        <v>82</v>
      </c>
      <c r="B23" s="274" t="s">
        <v>64</v>
      </c>
      <c r="C23" s="274" t="s">
        <v>65</v>
      </c>
      <c r="D23" s="307">
        <v>46129</v>
      </c>
      <c r="E23" s="276">
        <v>3010000</v>
      </c>
      <c r="F23" s="277">
        <v>0.87</v>
      </c>
      <c r="G23" s="277"/>
      <c r="H23" s="278">
        <v>6340</v>
      </c>
      <c r="I23" s="276">
        <f t="shared" si="2"/>
        <v>474.763406940063</v>
      </c>
      <c r="J23" s="279" t="s">
        <v>66</v>
      </c>
      <c r="K23" s="279" t="s">
        <v>66</v>
      </c>
      <c r="L23" s="280">
        <v>2022</v>
      </c>
      <c r="M23" s="281" t="s">
        <v>281</v>
      </c>
    </row>
    <row r="24" spans="1:13">
      <c r="A24" s="273" t="s">
        <v>282</v>
      </c>
      <c r="B24" s="274" t="s">
        <v>64</v>
      </c>
      <c r="C24" s="274" t="s">
        <v>65</v>
      </c>
      <c r="D24" s="307">
        <v>46020</v>
      </c>
      <c r="E24" s="276">
        <v>1015000</v>
      </c>
      <c r="F24" s="277">
        <f>4166/43560</f>
        <v>0.0956382001836547</v>
      </c>
      <c r="G24" s="277"/>
      <c r="H24" s="278">
        <v>1352</v>
      </c>
      <c r="I24" s="276">
        <f t="shared" si="2"/>
        <v>750.739644970414</v>
      </c>
      <c r="J24" s="279" t="s">
        <v>71</v>
      </c>
      <c r="K24" s="279" t="s">
        <v>71</v>
      </c>
      <c r="L24" s="280">
        <v>1929</v>
      </c>
      <c r="M24" s="281" t="s">
        <v>253</v>
      </c>
    </row>
    <row r="25" spans="1:13">
      <c r="A25" s="273" t="s">
        <v>283</v>
      </c>
      <c r="B25" s="274" t="s">
        <v>64</v>
      </c>
      <c r="C25" s="274" t="s">
        <v>65</v>
      </c>
      <c r="D25" s="307">
        <v>45961</v>
      </c>
      <c r="E25" s="276">
        <v>1065000</v>
      </c>
      <c r="F25" s="277">
        <f>3376/43560</f>
        <v>0.0775022956841139</v>
      </c>
      <c r="G25" s="277"/>
      <c r="H25" s="278">
        <v>2706</v>
      </c>
      <c r="I25" s="276">
        <f t="shared" si="2"/>
        <v>393.569844789357</v>
      </c>
      <c r="J25" s="279" t="s">
        <v>66</v>
      </c>
      <c r="K25" s="279" t="s">
        <v>66</v>
      </c>
      <c r="L25" s="280">
        <v>1960</v>
      </c>
      <c r="M25" s="281" t="s">
        <v>284</v>
      </c>
    </row>
    <row r="26" spans="1:13">
      <c r="A26" s="273" t="s">
        <v>248</v>
      </c>
      <c r="B26" s="274" t="s">
        <v>64</v>
      </c>
      <c r="C26" s="274" t="s">
        <v>65</v>
      </c>
      <c r="D26" s="275">
        <v>45959</v>
      </c>
      <c r="E26" s="276">
        <v>1350000</v>
      </c>
      <c r="F26" s="277">
        <v>0.75</v>
      </c>
      <c r="G26" s="277"/>
      <c r="H26" s="278">
        <v>2818</v>
      </c>
      <c r="I26" s="276">
        <f t="shared" si="2"/>
        <v>479.063165365508</v>
      </c>
      <c r="J26" s="279" t="s">
        <v>66</v>
      </c>
      <c r="K26" s="279" t="s">
        <v>66</v>
      </c>
      <c r="L26" s="280">
        <v>2021</v>
      </c>
      <c r="M26" s="281" t="s">
        <v>249</v>
      </c>
    </row>
    <row r="27" spans="1:13">
      <c r="A27" s="273" t="s">
        <v>250</v>
      </c>
      <c r="B27" s="274" t="s">
        <v>64</v>
      </c>
      <c r="C27" s="274" t="s">
        <v>65</v>
      </c>
      <c r="D27" s="275">
        <v>45898</v>
      </c>
      <c r="E27" s="276">
        <v>2150000</v>
      </c>
      <c r="F27" s="277">
        <f>4800/43560</f>
        <v>0.110192837465565</v>
      </c>
      <c r="G27" s="277"/>
      <c r="H27" s="278">
        <v>3300</v>
      </c>
      <c r="I27" s="276">
        <f t="shared" si="2"/>
        <v>651.515151515152</v>
      </c>
      <c r="J27" s="279" t="s">
        <v>71</v>
      </c>
      <c r="K27" s="279" t="s">
        <v>71</v>
      </c>
      <c r="L27" s="280">
        <v>1990</v>
      </c>
      <c r="M27" s="281" t="s">
        <v>251</v>
      </c>
    </row>
    <row r="28" spans="1:13">
      <c r="A28" s="273" t="s">
        <v>285</v>
      </c>
      <c r="B28" s="274" t="s">
        <v>221</v>
      </c>
      <c r="C28" s="274" t="s">
        <v>65</v>
      </c>
      <c r="D28" s="275">
        <v>45874</v>
      </c>
      <c r="E28" s="276">
        <v>1750000</v>
      </c>
      <c r="F28" s="277">
        <v>0.46</v>
      </c>
      <c r="G28" s="277"/>
      <c r="H28" s="278">
        <v>4406</v>
      </c>
      <c r="I28" s="276">
        <f t="shared" si="2"/>
        <v>397.18565592374</v>
      </c>
      <c r="J28" s="279" t="s">
        <v>66</v>
      </c>
      <c r="K28" s="279" t="s">
        <v>66</v>
      </c>
      <c r="L28" s="280">
        <v>1989</v>
      </c>
      <c r="M28" s="281" t="s">
        <v>286</v>
      </c>
    </row>
    <row r="29" spans="1:13">
      <c r="A29" s="273" t="s">
        <v>252</v>
      </c>
      <c r="B29" s="274" t="s">
        <v>64</v>
      </c>
      <c r="C29" s="274" t="s">
        <v>65</v>
      </c>
      <c r="D29" s="275">
        <v>45730</v>
      </c>
      <c r="E29" s="276">
        <v>1250000</v>
      </c>
      <c r="F29" s="277">
        <f>7840/43560</f>
        <v>0.179981634527089</v>
      </c>
      <c r="G29" s="277"/>
      <c r="H29" s="278">
        <v>2166</v>
      </c>
      <c r="I29" s="276">
        <f t="shared" si="2"/>
        <v>577.100646352724</v>
      </c>
      <c r="J29" s="279" t="s">
        <v>71</v>
      </c>
      <c r="K29" s="279" t="s">
        <v>71</v>
      </c>
      <c r="L29" s="280">
        <v>1939</v>
      </c>
      <c r="M29" s="281" t="s">
        <v>253</v>
      </c>
    </row>
    <row r="30" spans="1:13">
      <c r="A30" s="273" t="s">
        <v>254</v>
      </c>
      <c r="B30" s="274" t="s">
        <v>64</v>
      </c>
      <c r="C30" s="274" t="s">
        <v>65</v>
      </c>
      <c r="D30" s="282">
        <v>45583</v>
      </c>
      <c r="E30" s="276">
        <v>2595000</v>
      </c>
      <c r="F30" s="277">
        <f>5775/43560</f>
        <v>0.132575757575758</v>
      </c>
      <c r="G30" s="277"/>
      <c r="H30" s="278">
        <v>3024</v>
      </c>
      <c r="I30" s="276">
        <f t="shared" si="2"/>
        <v>858.134920634921</v>
      </c>
      <c r="J30" s="279" t="s">
        <v>71</v>
      </c>
      <c r="K30" s="279" t="s">
        <v>71</v>
      </c>
      <c r="L30" s="280">
        <v>1987</v>
      </c>
      <c r="M30" s="281" t="s">
        <v>255</v>
      </c>
    </row>
    <row r="31" spans="1:13">
      <c r="A31" s="273" t="s">
        <v>256</v>
      </c>
      <c r="B31" s="274" t="s">
        <v>221</v>
      </c>
      <c r="C31" s="274" t="s">
        <v>65</v>
      </c>
      <c r="D31" s="282">
        <v>45555</v>
      </c>
      <c r="E31" s="276">
        <v>2000000</v>
      </c>
      <c r="F31" s="277">
        <f>7200/43560</f>
        <v>0.165289256198347</v>
      </c>
      <c r="G31" s="277"/>
      <c r="H31" s="278">
        <v>3503</v>
      </c>
      <c r="I31" s="276">
        <f t="shared" si="2"/>
        <v>570.939194975735</v>
      </c>
      <c r="J31" s="279" t="s">
        <v>71</v>
      </c>
      <c r="K31" s="279" t="s">
        <v>71</v>
      </c>
      <c r="L31" s="280">
        <v>1980</v>
      </c>
      <c r="M31" s="281" t="s">
        <v>257</v>
      </c>
    </row>
    <row r="32" spans="1:13">
      <c r="A32" s="273" t="s">
        <v>258</v>
      </c>
      <c r="B32" s="274" t="s">
        <v>221</v>
      </c>
      <c r="C32" s="274" t="s">
        <v>65</v>
      </c>
      <c r="D32" s="282">
        <v>45450</v>
      </c>
      <c r="E32" s="276">
        <v>1836300</v>
      </c>
      <c r="F32" s="277">
        <f>7200/43560</f>
        <v>0.165289256198347</v>
      </c>
      <c r="G32" s="277"/>
      <c r="H32" s="278">
        <v>2775</v>
      </c>
      <c r="I32" s="276">
        <f t="shared" si="2"/>
        <v>661.72972972973</v>
      </c>
      <c r="J32" s="279" t="s">
        <v>71</v>
      </c>
      <c r="K32" s="279" t="s">
        <v>71</v>
      </c>
      <c r="L32" s="280">
        <v>2013</v>
      </c>
      <c r="M32" s="281" t="s">
        <v>251</v>
      </c>
    </row>
    <row r="33" spans="1:13">
      <c r="A33" s="273" t="s">
        <v>259</v>
      </c>
      <c r="B33" s="274" t="s">
        <v>221</v>
      </c>
      <c r="C33" s="274" t="s">
        <v>65</v>
      </c>
      <c r="D33" s="282">
        <v>45447</v>
      </c>
      <c r="E33" s="276">
        <v>1500000</v>
      </c>
      <c r="F33" s="277">
        <f>7196/43560</f>
        <v>0.165197428833792</v>
      </c>
      <c r="G33" s="277"/>
      <c r="H33" s="278">
        <v>2080</v>
      </c>
      <c r="I33" s="276">
        <f t="shared" si="2"/>
        <v>721.153846153846</v>
      </c>
      <c r="J33" s="279" t="s">
        <v>71</v>
      </c>
      <c r="K33" s="279" t="s">
        <v>71</v>
      </c>
      <c r="L33" s="280">
        <v>1964</v>
      </c>
      <c r="M33" s="281" t="s">
        <v>260</v>
      </c>
    </row>
    <row r="34" spans="1:13">
      <c r="A34" s="273" t="s">
        <v>261</v>
      </c>
      <c r="B34" s="274" t="s">
        <v>64</v>
      </c>
      <c r="C34" s="274" t="s">
        <v>65</v>
      </c>
      <c r="D34" s="282">
        <v>45435</v>
      </c>
      <c r="E34" s="276">
        <v>1200000</v>
      </c>
      <c r="F34" s="277">
        <v>0.46</v>
      </c>
      <c r="G34" s="277"/>
      <c r="H34" s="278">
        <v>2646</v>
      </c>
      <c r="I34" s="276">
        <f t="shared" si="2"/>
        <v>453.514739229025</v>
      </c>
      <c r="J34" s="279" t="s">
        <v>66</v>
      </c>
      <c r="K34" s="279" t="s">
        <v>66</v>
      </c>
      <c r="L34" s="280">
        <v>2019</v>
      </c>
      <c r="M34" s="281" t="s">
        <v>262</v>
      </c>
    </row>
    <row r="35" spans="1:13">
      <c r="A35" s="273" t="s">
        <v>263</v>
      </c>
      <c r="B35" s="274" t="s">
        <v>221</v>
      </c>
      <c r="C35" s="274" t="s">
        <v>65</v>
      </c>
      <c r="D35" s="282">
        <v>45401</v>
      </c>
      <c r="E35" s="276">
        <v>1350000</v>
      </c>
      <c r="F35" s="277">
        <f>5998/43560</f>
        <v>0.137695133149679</v>
      </c>
      <c r="G35" s="277"/>
      <c r="H35" s="278">
        <v>2489</v>
      </c>
      <c r="I35" s="276">
        <f t="shared" si="2"/>
        <v>542.386500602652</v>
      </c>
      <c r="J35" s="279" t="s">
        <v>66</v>
      </c>
      <c r="K35" s="279" t="s">
        <v>66</v>
      </c>
      <c r="L35" s="280">
        <v>1922</v>
      </c>
      <c r="M35" s="281" t="s">
        <v>264</v>
      </c>
    </row>
    <row r="36" spans="1:13">
      <c r="A36" s="273" t="s">
        <v>265</v>
      </c>
      <c r="B36" s="274" t="s">
        <v>221</v>
      </c>
      <c r="C36" s="274" t="s">
        <v>65</v>
      </c>
      <c r="D36" s="282">
        <v>45315</v>
      </c>
      <c r="E36" s="276">
        <v>1243533</v>
      </c>
      <c r="F36" s="277">
        <v>0.28000000000000003</v>
      </c>
      <c r="G36" s="277"/>
      <c r="H36" s="278">
        <v>3098</v>
      </c>
      <c r="I36" s="276">
        <f t="shared" si="2"/>
        <v>401.398644286637</v>
      </c>
      <c r="J36" s="279" t="s">
        <v>66</v>
      </c>
      <c r="K36" s="279" t="s">
        <v>66</v>
      </c>
      <c r="L36" s="280">
        <v>1923</v>
      </c>
      <c r="M36" s="281" t="s">
        <v>266</v>
      </c>
    </row>
    <row r="37" spans="1:13">
      <c r="A37" s="273" t="s">
        <v>248</v>
      </c>
      <c r="B37" s="274" t="s">
        <v>64</v>
      </c>
      <c r="C37" s="274" t="s">
        <v>65</v>
      </c>
      <c r="D37" s="282">
        <v>45194</v>
      </c>
      <c r="E37" s="276">
        <v>1325000</v>
      </c>
      <c r="F37" s="277">
        <v>0.75</v>
      </c>
      <c r="G37" s="277"/>
      <c r="H37" s="278">
        <v>2818</v>
      </c>
      <c r="I37" s="276">
        <f t="shared" si="2"/>
        <v>470.191625266146</v>
      </c>
      <c r="J37" s="279" t="s">
        <v>66</v>
      </c>
      <c r="K37" s="279" t="s">
        <v>66</v>
      </c>
      <c r="L37" s="280">
        <v>2021</v>
      </c>
      <c r="M37" s="281" t="s">
        <v>249</v>
      </c>
    </row>
    <row r="38" spans="1:13">
      <c r="A38" s="273" t="s">
        <v>267</v>
      </c>
      <c r="B38" s="274" t="s">
        <v>64</v>
      </c>
      <c r="C38" s="274" t="s">
        <v>65</v>
      </c>
      <c r="D38" s="282">
        <v>45167</v>
      </c>
      <c r="E38" s="276">
        <v>850000</v>
      </c>
      <c r="F38" s="277">
        <f>3200/43560</f>
        <v>0.0734618916437098</v>
      </c>
      <c r="G38" s="277"/>
      <c r="H38" s="278">
        <v>2349</v>
      </c>
      <c r="I38" s="276">
        <f t="shared" si="2"/>
        <v>361.856108982546</v>
      </c>
      <c r="J38" s="279" t="s">
        <v>71</v>
      </c>
      <c r="K38" s="279" t="s">
        <v>71</v>
      </c>
      <c r="L38" s="280">
        <v>1918</v>
      </c>
      <c r="M38" s="281" t="s">
        <v>268</v>
      </c>
    </row>
    <row r="39" spans="1:13" ht="16" thickBot="1">
      <c r="A39" s="283" t="s">
        <v>269</v>
      </c>
      <c r="B39" s="284" t="s">
        <v>221</v>
      </c>
      <c r="C39" s="284" t="s">
        <v>65</v>
      </c>
      <c r="D39" s="285">
        <v>45162</v>
      </c>
      <c r="E39" s="286">
        <v>1800000</v>
      </c>
      <c r="F39" s="287">
        <v>0.26</v>
      </c>
      <c r="G39" s="287"/>
      <c r="H39" s="288">
        <v>2964</v>
      </c>
      <c r="I39" s="286">
        <f t="shared" si="2"/>
        <v>607.287449392713</v>
      </c>
      <c r="J39" s="290" t="s">
        <v>71</v>
      </c>
      <c r="K39" s="290" t="s">
        <v>71</v>
      </c>
      <c r="L39" s="290">
        <v>1924</v>
      </c>
      <c r="M39" s="291" t="s">
        <v>251</v>
      </c>
    </row>
    <row r="40" spans="1:13" ht="16" thickBot="1">
      <c r="A40" s="292" t="s">
        <v>51</v>
      </c>
      <c r="B40" s="293"/>
      <c r="C40" s="293"/>
      <c r="D40" s="285"/>
      <c r="E40" s="294">
        <f>AVERAGE(E22:E39)</f>
        <v>1600268.5</v>
      </c>
      <c r="F40" s="295">
        <f>AVERAGE(F22:F39)</f>
        <v>0.295362463013978</v>
      </c>
      <c r="G40" s="295"/>
      <c r="H40" s="296">
        <f>AVERAGE(H22:H39)</f>
        <v>3089.88888888889</v>
      </c>
      <c r="I40" s="294">
        <f t="shared" si="2"/>
        <v>517.904868927326</v>
      </c>
      <c r="J40" s="297"/>
      <c r="K40" s="297"/>
      <c r="L40" s="298">
        <f>AVERAGE(L22:L39)</f>
        <v>1973.22222222222</v>
      </c>
      <c r="M40" s="291"/>
    </row>
    <row r="41" spans="1:13" ht="16" thickBot="1">
      <c r="A41" s="300"/>
      <c r="B41" s="300"/>
      <c r="C41" s="300"/>
      <c r="D41" s="282"/>
      <c r="E41" s="276"/>
      <c r="F41" s="277"/>
      <c r="G41" s="277"/>
      <c r="H41" s="278"/>
      <c r="I41" s="276"/>
      <c r="J41" s="276"/>
      <c r="K41" s="276"/>
      <c r="L41" s="276"/>
      <c r="M41" s="300"/>
    </row>
    <row r="42" spans="1:13" ht="16" thickBot="1">
      <c r="A42" s="254" t="s">
        <v>51</v>
      </c>
      <c r="B42" s="308"/>
      <c r="C42" s="308"/>
      <c r="D42" s="309"/>
      <c r="E42" s="310">
        <f>AVERAGE(E3:E17,E22:E39)</f>
        <v>1285731.3030303</v>
      </c>
      <c r="F42" s="311">
        <f>AVERAGE(F3:F17,F22:F39)</f>
        <v>0.216081503742661</v>
      </c>
      <c r="G42" s="311"/>
      <c r="H42" s="256">
        <f>AVERAGE(H3:H17,H22:H39)</f>
        <v>2768.72564168598</v>
      </c>
      <c r="I42" s="310">
        <f>E42/H42</f>
        <v>464.376565042166</v>
      </c>
      <c r="J42" s="312"/>
      <c r="K42" s="312"/>
      <c r="L42" s="313">
        <f>AVERAGE(L3:L17,L22:L39)</f>
        <v>1989.75757575758</v>
      </c>
      <c r="M42" s="314"/>
    </row>
    <row r="43" spans="1:13">
      <c r="D43" s="261"/>
      <c r="E43" s="258"/>
      <c r="F43" s="259"/>
      <c r="G43" s="259"/>
      <c r="H43" s="260"/>
      <c r="I43" s="258"/>
      <c r="J43" s="258"/>
      <c r="K43" s="258"/>
      <c r="L43" s="258"/>
    </row>
    <row r="44" spans="1:13">
      <c r="D44" s="261"/>
      <c r="E44" s="258"/>
      <c r="F44" s="258"/>
      <c r="G44" s="258"/>
      <c r="H44" s="260"/>
      <c r="I44" s="258"/>
      <c r="J44" s="258"/>
      <c r="K44" s="258"/>
      <c r="L44" s="258"/>
    </row>
    <row r="45" spans="1:13">
      <c r="D45" s="261"/>
      <c r="E45" s="258"/>
      <c r="F45" s="258"/>
      <c r="G45" s="258"/>
      <c r="H45" s="253"/>
      <c r="I45" s="258"/>
      <c r="J45" s="258"/>
      <c r="K45" s="258"/>
      <c r="L45" s="258"/>
    </row>
    <row r="46" spans="1:13">
      <c r="E46" s="258"/>
      <c r="F46" s="258"/>
      <c r="G46" s="258"/>
      <c r="H46" s="253"/>
      <c r="I46" s="258"/>
      <c r="J46" s="258"/>
      <c r="K46" s="258"/>
      <c r="L46" s="258"/>
    </row>
    <row r="47" spans="1:13">
      <c r="E47" s="258"/>
      <c r="F47" s="258"/>
      <c r="G47" s="258"/>
      <c r="H47" s="253"/>
      <c r="I47" s="258"/>
      <c r="J47" s="258"/>
      <c r="K47" s="258"/>
      <c r="L47" s="258"/>
    </row>
    <row r="48" spans="1:13">
      <c r="E48" s="258"/>
      <c r="F48" s="258"/>
      <c r="G48" s="258"/>
      <c r="H48" s="253"/>
    </row>
    <row r="49" spans="5:8">
      <c r="E49" s="258"/>
      <c r="F49" s="258"/>
      <c r="G49" s="258"/>
      <c r="H49" s="253"/>
    </row>
    <row r="50" spans="5:8">
      <c r="E50" s="258"/>
      <c r="F50" s="258"/>
      <c r="G50" s="258"/>
      <c r="H50" s="253"/>
    </row>
  </sheetData>
  <pageMargins left="0.25" right="0.25" top="0.75" bottom="0.75" header="0.3" footer="0.3"/>
  <pageSetup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C30B-9A55-4C1E-BBBB-2B43C1D4538A}">
  <dimension ref="B1:AM68"/>
  <sheetViews>
    <sheetView showGridLines="0" view="pageBreakPreview" topLeftCell="A34" zoomScale="115" zoomScaleNormal="115" zoomScaleSheetLayoutView="115" workbookViewId="0">
      <selection activeCell="I53" sqref="I53"/>
    </sheetView>
  </sheetViews>
  <sheetFormatPr defaultColWidth="6.1796875" defaultRowHeight="10"/>
  <cols>
    <col min="1" max="1" width="1.7265625" style="158" customWidth="1"/>
    <col min="2" max="2" width="2.54296875" style="158" customWidth="1"/>
    <col min="3" max="3" width="45.7265625" style="158" customWidth="1"/>
    <col min="4" max="4" width="15.7265625" style="158" customWidth="1"/>
    <col min="5" max="5" width="7.54296875" style="158" customWidth="1"/>
    <col min="6" max="17" width="13.54296875" style="158" customWidth="1"/>
    <col min="18" max="16384" width="6.1796875" style="158"/>
  </cols>
  <sheetData>
    <row r="1" spans="2:39" ht="20.149999999999999" customHeight="1"/>
    <row r="2" spans="2:39" ht="37.5" customHeight="1"/>
    <row r="3" spans="2:39" ht="27" customHeight="1">
      <c r="C3" s="159" t="s">
        <v>135</v>
      </c>
      <c r="D3" s="160"/>
      <c r="E3" s="161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W3" s="160"/>
    </row>
    <row r="4" spans="2:39" ht="12" customHeight="1">
      <c r="C4" s="162"/>
      <c r="D4" s="162"/>
      <c r="E4" s="162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</row>
    <row r="5" spans="2:39" ht="13.5" customHeight="1">
      <c r="C5" s="164" t="s">
        <v>20</v>
      </c>
      <c r="F5" s="165">
        <v>1</v>
      </c>
      <c r="G5" s="165">
        <f>F5+1</f>
        <v>2</v>
      </c>
      <c r="H5" s="165">
        <f>G5+1</f>
        <v>3</v>
      </c>
      <c r="I5" s="165">
        <f t="shared" ref="I5:Q5" si="0">H5+1</f>
        <v>4</v>
      </c>
      <c r="J5" s="165">
        <f t="shared" si="0"/>
        <v>5</v>
      </c>
      <c r="K5" s="165">
        <f t="shared" si="0"/>
        <v>6</v>
      </c>
      <c r="L5" s="165">
        <f t="shared" si="0"/>
        <v>7</v>
      </c>
      <c r="M5" s="165">
        <f t="shared" si="0"/>
        <v>8</v>
      </c>
      <c r="N5" s="165">
        <f t="shared" si="0"/>
        <v>9</v>
      </c>
      <c r="O5" s="165">
        <f t="shared" si="0"/>
        <v>10</v>
      </c>
      <c r="P5" s="165">
        <f t="shared" si="0"/>
        <v>11</v>
      </c>
      <c r="Q5" s="165">
        <f t="shared" si="0"/>
        <v>12</v>
      </c>
    </row>
    <row r="6" spans="2:39" s="166" customFormat="1" ht="13.5" customHeight="1">
      <c r="C6" s="164" t="s">
        <v>136</v>
      </c>
      <c r="D6" s="158"/>
      <c r="E6" s="158"/>
      <c r="F6" s="158">
        <v>31</v>
      </c>
      <c r="G6" s="158">
        <v>28</v>
      </c>
      <c r="H6" s="158">
        <v>31</v>
      </c>
      <c r="I6" s="158">
        <v>30</v>
      </c>
      <c r="J6" s="158">
        <v>31</v>
      </c>
      <c r="K6" s="158">
        <v>30</v>
      </c>
      <c r="L6" s="158">
        <v>31</v>
      </c>
      <c r="M6" s="158">
        <v>31</v>
      </c>
      <c r="N6" s="158">
        <v>30</v>
      </c>
      <c r="O6" s="158">
        <v>31</v>
      </c>
      <c r="P6" s="158">
        <v>30</v>
      </c>
      <c r="Q6" s="158">
        <v>31</v>
      </c>
      <c r="S6" s="158"/>
      <c r="T6" s="158"/>
      <c r="U6" s="158"/>
      <c r="V6" s="158"/>
      <c r="W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</row>
    <row r="7" spans="2:39" s="166" customFormat="1" ht="13.5" customHeight="1">
      <c r="C7" s="164" t="s">
        <v>137</v>
      </c>
      <c r="D7" s="158"/>
      <c r="E7" s="158"/>
      <c r="F7" s="167">
        <f>F6</f>
        <v>31</v>
      </c>
      <c r="G7" s="167">
        <f t="shared" ref="G7:Q7" si="1">G6+F7</f>
        <v>59</v>
      </c>
      <c r="H7" s="167">
        <f t="shared" si="1"/>
        <v>90</v>
      </c>
      <c r="I7" s="167">
        <f t="shared" si="1"/>
        <v>120</v>
      </c>
      <c r="J7" s="167">
        <f t="shared" si="1"/>
        <v>151</v>
      </c>
      <c r="K7" s="167">
        <f t="shared" si="1"/>
        <v>181</v>
      </c>
      <c r="L7" s="167">
        <f t="shared" si="1"/>
        <v>212</v>
      </c>
      <c r="M7" s="167">
        <f t="shared" si="1"/>
        <v>243</v>
      </c>
      <c r="N7" s="167">
        <f t="shared" si="1"/>
        <v>273</v>
      </c>
      <c r="O7" s="167">
        <f t="shared" si="1"/>
        <v>304</v>
      </c>
      <c r="P7" s="167">
        <f t="shared" si="1"/>
        <v>334</v>
      </c>
      <c r="Q7" s="167">
        <f t="shared" si="1"/>
        <v>365</v>
      </c>
      <c r="S7" s="158"/>
      <c r="T7" s="158"/>
      <c r="U7" s="158"/>
      <c r="V7" s="158"/>
      <c r="W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</row>
    <row r="8" spans="2:39" s="166" customFormat="1" ht="13.5" customHeight="1">
      <c r="C8" s="168"/>
      <c r="D8" s="169"/>
      <c r="E8" s="169"/>
      <c r="F8" s="170">
        <v>46388</v>
      </c>
      <c r="G8" s="170">
        <f t="shared" ref="G8:Q8" si="2">F8+F6</f>
        <v>46419</v>
      </c>
      <c r="H8" s="170">
        <f t="shared" si="2"/>
        <v>46447</v>
      </c>
      <c r="I8" s="170">
        <f t="shared" si="2"/>
        <v>46478</v>
      </c>
      <c r="J8" s="170">
        <f t="shared" si="2"/>
        <v>46508</v>
      </c>
      <c r="K8" s="170">
        <f t="shared" si="2"/>
        <v>46539</v>
      </c>
      <c r="L8" s="170">
        <f t="shared" si="2"/>
        <v>46569</v>
      </c>
      <c r="M8" s="170">
        <f t="shared" si="2"/>
        <v>46600</v>
      </c>
      <c r="N8" s="170">
        <f t="shared" si="2"/>
        <v>46631</v>
      </c>
      <c r="O8" s="170">
        <f t="shared" si="2"/>
        <v>46661</v>
      </c>
      <c r="P8" s="170">
        <f t="shared" si="2"/>
        <v>46692</v>
      </c>
      <c r="Q8" s="170">
        <f t="shared" si="2"/>
        <v>46722</v>
      </c>
      <c r="S8" s="158"/>
      <c r="T8" s="158"/>
      <c r="U8" s="158"/>
      <c r="V8" s="158"/>
      <c r="W8" s="170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</row>
    <row r="9" spans="2:39" s="166" customFormat="1" ht="13.5" customHeight="1">
      <c r="C9" s="171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S9" s="158"/>
      <c r="T9" s="158"/>
      <c r="U9" s="158"/>
      <c r="V9" s="158"/>
      <c r="W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</row>
    <row r="10" spans="2:39" s="166" customFormat="1" ht="13.5" customHeight="1">
      <c r="B10" s="158"/>
      <c r="C10" s="172" t="s">
        <v>138</v>
      </c>
      <c r="D10" s="158"/>
      <c r="E10" s="158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S10" s="158"/>
      <c r="T10" s="158"/>
      <c r="U10" s="158"/>
      <c r="V10" s="158"/>
      <c r="W10" s="173"/>
      <c r="Y10" s="158"/>
      <c r="Z10" s="158"/>
      <c r="AA10" s="158"/>
      <c r="AB10" s="158"/>
      <c r="AC10" s="158"/>
      <c r="AD10" s="158"/>
      <c r="AE10" s="158"/>
      <c r="AF10" s="158"/>
      <c r="AG10" s="158"/>
      <c r="AH10" s="158"/>
      <c r="AI10" s="158"/>
      <c r="AJ10" s="158"/>
      <c r="AK10" s="158"/>
      <c r="AL10" s="158"/>
      <c r="AM10" s="158"/>
    </row>
    <row r="11" spans="2:39" s="166" customFormat="1" ht="13.5" customHeight="1">
      <c r="B11" s="158"/>
      <c r="D11" s="158"/>
      <c r="E11" s="158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S11" s="158"/>
      <c r="T11" s="158"/>
      <c r="U11" s="158"/>
      <c r="V11" s="158"/>
      <c r="W11" s="173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</row>
    <row r="12" spans="2:39" s="166" customFormat="1" ht="13.5" customHeight="1">
      <c r="B12" s="158">
        <v>1</v>
      </c>
      <c r="C12" s="175" t="s">
        <v>323</v>
      </c>
      <c r="D12" s="176"/>
      <c r="E12" s="176"/>
      <c r="F12" s="177"/>
      <c r="G12" s="177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S12" s="158"/>
      <c r="T12" s="158"/>
      <c r="U12" s="158"/>
      <c r="V12" s="158"/>
      <c r="W12" s="173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</row>
    <row r="13" spans="2:39" s="166" customFormat="1" ht="13.5" customHeight="1">
      <c r="B13" s="158"/>
      <c r="C13" s="175"/>
      <c r="D13" s="158"/>
      <c r="E13" s="158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S13" s="158"/>
      <c r="T13" s="158"/>
      <c r="U13" s="158"/>
      <c r="V13" s="158"/>
      <c r="W13" s="173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</row>
    <row r="14" spans="2:39" s="166" customFormat="1" ht="13.5" customHeight="1">
      <c r="B14" s="158">
        <v>2</v>
      </c>
      <c r="C14" s="175" t="s">
        <v>139</v>
      </c>
      <c r="D14" s="176"/>
      <c r="E14" s="158"/>
      <c r="F14" s="173"/>
      <c r="G14" s="173"/>
      <c r="H14" s="178"/>
      <c r="I14" s="173"/>
      <c r="J14" s="173"/>
      <c r="K14" s="173"/>
      <c r="L14" s="173"/>
      <c r="M14" s="173"/>
      <c r="N14" s="173"/>
      <c r="O14" s="173"/>
      <c r="P14" s="173"/>
      <c r="Q14" s="173"/>
      <c r="S14" s="158"/>
      <c r="T14" s="158"/>
      <c r="U14" s="158"/>
      <c r="V14" s="158"/>
      <c r="W14" s="173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</row>
    <row r="15" spans="2:39" s="166" customFormat="1" ht="13.5" customHeight="1">
      <c r="B15" s="158"/>
      <c r="C15" s="175"/>
      <c r="D15" s="158"/>
      <c r="E15" s="158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S15" s="158"/>
      <c r="T15" s="158"/>
      <c r="U15" s="158"/>
      <c r="V15" s="158"/>
      <c r="W15" s="173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</row>
    <row r="16" spans="2:39" s="166" customFormat="1" ht="13.5" customHeight="1">
      <c r="B16" s="158">
        <v>3</v>
      </c>
      <c r="C16" s="175" t="s">
        <v>140</v>
      </c>
      <c r="D16" s="158"/>
      <c r="E16" s="158"/>
      <c r="I16" s="177"/>
      <c r="J16" s="177"/>
      <c r="K16" s="173"/>
      <c r="L16" s="173"/>
      <c r="M16" s="173"/>
      <c r="N16" s="171"/>
      <c r="O16" s="173"/>
      <c r="P16" s="173"/>
      <c r="Q16" s="174"/>
      <c r="S16" s="158"/>
      <c r="T16" s="158"/>
      <c r="U16" s="158"/>
      <c r="V16" s="158"/>
      <c r="W16" s="173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</row>
    <row r="17" spans="2:39" s="166" customFormat="1" ht="13.5" customHeight="1">
      <c r="B17" s="158"/>
      <c r="C17" s="175"/>
      <c r="D17" s="158"/>
      <c r="E17" s="158"/>
      <c r="I17" s="173"/>
      <c r="J17" s="173"/>
      <c r="K17" s="173"/>
      <c r="L17" s="173"/>
      <c r="M17" s="173"/>
      <c r="N17" s="171"/>
      <c r="O17" s="171"/>
      <c r="P17" s="171"/>
      <c r="Q17" s="174"/>
      <c r="S17" s="158"/>
      <c r="T17" s="158"/>
      <c r="U17" s="158"/>
      <c r="V17" s="158"/>
      <c r="W17" s="173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</row>
    <row r="18" spans="2:39" s="166" customFormat="1" ht="13.5" customHeight="1">
      <c r="B18" s="158">
        <v>4</v>
      </c>
      <c r="C18" s="175" t="s">
        <v>141</v>
      </c>
      <c r="I18" s="171"/>
      <c r="J18" s="171"/>
      <c r="K18" s="179"/>
      <c r="L18" s="171"/>
      <c r="M18" s="171"/>
      <c r="N18" s="173"/>
      <c r="O18" s="173"/>
      <c r="P18" s="173"/>
      <c r="Q18" s="174"/>
      <c r="S18" s="158"/>
      <c r="T18" s="158"/>
      <c r="U18" s="158"/>
      <c r="V18" s="158"/>
      <c r="W18" s="174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</row>
    <row r="19" spans="2:39" s="166" customFormat="1" ht="13.5" customHeight="1">
      <c r="B19" s="158"/>
      <c r="C19" s="175"/>
      <c r="I19" s="171"/>
      <c r="J19" s="171"/>
      <c r="K19" s="171"/>
      <c r="L19" s="171"/>
      <c r="M19" s="171"/>
      <c r="N19" s="174"/>
      <c r="O19" s="174"/>
      <c r="P19" s="174"/>
      <c r="Q19" s="174"/>
      <c r="S19" s="158"/>
      <c r="T19" s="158"/>
      <c r="U19" s="158"/>
      <c r="V19" s="158"/>
      <c r="W19" s="173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</row>
    <row r="20" spans="2:39" s="166" customFormat="1" ht="13.5" customHeight="1">
      <c r="B20" s="158">
        <v>5</v>
      </c>
      <c r="C20" s="175" t="s">
        <v>142</v>
      </c>
      <c r="D20" s="158"/>
      <c r="E20" s="158"/>
      <c r="F20" s="158"/>
      <c r="G20" s="158"/>
      <c r="H20" s="158"/>
      <c r="I20" s="173"/>
      <c r="J20" s="173"/>
      <c r="K20" s="173"/>
      <c r="L20" s="177"/>
      <c r="M20" s="173"/>
      <c r="N20" s="174"/>
      <c r="O20" s="174"/>
      <c r="P20" s="174"/>
      <c r="Q20" s="174"/>
      <c r="W20" s="171"/>
    </row>
    <row r="21" spans="2:39" s="166" customFormat="1" ht="13.5" customHeight="1">
      <c r="B21" s="158"/>
      <c r="C21" s="175"/>
      <c r="D21" s="158"/>
      <c r="E21" s="158"/>
      <c r="F21" s="158"/>
      <c r="G21" s="158"/>
      <c r="H21" s="158"/>
      <c r="I21" s="173"/>
      <c r="J21" s="173"/>
      <c r="K21" s="173"/>
      <c r="L21" s="173"/>
      <c r="M21" s="173"/>
      <c r="N21" s="173"/>
      <c r="O21" s="173"/>
      <c r="P21" s="173"/>
      <c r="Q21" s="174"/>
      <c r="W21" s="171"/>
    </row>
    <row r="22" spans="2:39" ht="13.5" customHeight="1">
      <c r="B22" s="158">
        <v>6</v>
      </c>
      <c r="C22" s="180" t="s">
        <v>143</v>
      </c>
      <c r="D22" s="173"/>
      <c r="E22" s="173"/>
      <c r="F22" s="173"/>
      <c r="L22" s="181"/>
      <c r="W22" s="173"/>
    </row>
    <row r="23" spans="2:39" ht="13.5" customHeight="1">
      <c r="C23" s="173"/>
      <c r="D23" s="173"/>
      <c r="E23" s="173"/>
      <c r="F23" s="173"/>
      <c r="W23" s="173"/>
    </row>
    <row r="24" spans="2:39" ht="13.5" customHeight="1">
      <c r="B24" s="158">
        <v>7</v>
      </c>
      <c r="C24" s="180" t="s">
        <v>144</v>
      </c>
      <c r="D24" s="173"/>
      <c r="E24" s="173"/>
      <c r="F24" s="173"/>
      <c r="I24" s="173"/>
      <c r="J24" s="173"/>
      <c r="K24" s="173"/>
      <c r="L24" s="182"/>
      <c r="M24" s="173"/>
      <c r="N24" s="173"/>
      <c r="O24" s="173"/>
      <c r="P24" s="173"/>
      <c r="Q24" s="174"/>
      <c r="W24" s="173"/>
    </row>
    <row r="25" spans="2:39" ht="13.5" customHeight="1">
      <c r="C25" s="175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4"/>
      <c r="W25" s="173"/>
    </row>
    <row r="26" spans="2:39" ht="13.5" customHeight="1">
      <c r="B26" s="158">
        <v>8</v>
      </c>
      <c r="C26" s="175" t="s">
        <v>145</v>
      </c>
      <c r="F26" s="173"/>
      <c r="G26" s="173"/>
      <c r="H26" s="173"/>
      <c r="I26" s="173"/>
      <c r="J26" s="173"/>
      <c r="K26" s="173"/>
      <c r="L26" s="173"/>
      <c r="M26" s="183"/>
      <c r="Q26" s="174"/>
      <c r="W26" s="173"/>
    </row>
    <row r="27" spans="2:39" ht="13.5" customHeight="1">
      <c r="F27" s="173"/>
      <c r="G27" s="173"/>
      <c r="H27" s="173"/>
      <c r="I27" s="173"/>
      <c r="J27" s="173"/>
      <c r="K27" s="173"/>
      <c r="L27" s="173"/>
      <c r="Q27" s="174"/>
      <c r="W27" s="173"/>
    </row>
    <row r="28" spans="2:39" ht="13.5" customHeight="1">
      <c r="B28" s="158">
        <v>9</v>
      </c>
      <c r="C28" s="175" t="s">
        <v>146</v>
      </c>
      <c r="J28" s="177"/>
      <c r="K28" s="177"/>
      <c r="L28" s="177"/>
      <c r="M28" s="177"/>
      <c r="N28" s="177"/>
      <c r="O28" s="177"/>
      <c r="P28" s="177"/>
      <c r="Q28" s="177"/>
      <c r="W28" s="173"/>
    </row>
    <row r="29" spans="2:39" ht="13.5" customHeight="1">
      <c r="W29" s="173"/>
    </row>
    <row r="30" spans="2:39" ht="13.5" customHeight="1">
      <c r="B30" s="158">
        <v>10</v>
      </c>
      <c r="C30" s="175" t="s">
        <v>147</v>
      </c>
      <c r="F30" s="173"/>
      <c r="G30" s="173"/>
      <c r="H30" s="173"/>
      <c r="I30" s="173"/>
      <c r="J30" s="173"/>
      <c r="K30" s="173"/>
      <c r="L30" s="173"/>
      <c r="N30" s="177"/>
      <c r="O30" s="177"/>
      <c r="P30" s="173"/>
      <c r="Q30" s="173"/>
      <c r="W30" s="173"/>
    </row>
    <row r="31" spans="2:39" ht="13.5" customHeight="1">
      <c r="C31" s="175"/>
      <c r="F31" s="173"/>
      <c r="G31" s="173"/>
      <c r="H31" s="173"/>
      <c r="I31" s="173"/>
      <c r="J31" s="173"/>
      <c r="K31" s="173"/>
      <c r="L31" s="173"/>
      <c r="P31" s="173"/>
      <c r="Q31" s="173"/>
      <c r="W31" s="173"/>
    </row>
    <row r="32" spans="2:39" ht="13.5" customHeight="1">
      <c r="B32" s="158">
        <v>11</v>
      </c>
      <c r="C32" s="175" t="s">
        <v>148</v>
      </c>
      <c r="F32" s="173"/>
      <c r="G32" s="173"/>
      <c r="H32" s="173"/>
      <c r="I32" s="173"/>
      <c r="J32" s="173"/>
      <c r="K32" s="173"/>
      <c r="L32" s="173"/>
      <c r="O32" s="173"/>
      <c r="P32" s="182"/>
      <c r="Q32" s="173"/>
      <c r="W32" s="173"/>
    </row>
    <row r="33" spans="2:23" ht="13.5" customHeight="1">
      <c r="C33" s="175"/>
      <c r="F33" s="173"/>
      <c r="G33" s="173"/>
      <c r="H33" s="173"/>
      <c r="I33" s="173"/>
      <c r="J33" s="173"/>
      <c r="K33" s="173"/>
      <c r="L33" s="173"/>
      <c r="O33" s="173"/>
      <c r="P33" s="173"/>
      <c r="Q33" s="173"/>
      <c r="W33" s="173"/>
    </row>
    <row r="34" spans="2:23" ht="13.5" customHeight="1">
      <c r="B34" s="158">
        <v>12</v>
      </c>
      <c r="C34" s="175" t="s">
        <v>149</v>
      </c>
      <c r="F34" s="173"/>
      <c r="G34" s="173"/>
      <c r="H34" s="173"/>
      <c r="I34" s="173"/>
      <c r="J34" s="173"/>
      <c r="K34" s="173"/>
      <c r="L34" s="173"/>
      <c r="O34" s="173"/>
      <c r="P34" s="182"/>
      <c r="Q34" s="173"/>
      <c r="W34" s="173"/>
    </row>
    <row r="35" spans="2:23" ht="13.5" customHeight="1">
      <c r="C35" s="175"/>
      <c r="F35" s="173"/>
      <c r="G35" s="173"/>
      <c r="H35" s="173"/>
      <c r="I35" s="173"/>
      <c r="J35" s="173"/>
      <c r="K35" s="173"/>
      <c r="L35" s="173"/>
      <c r="O35" s="173"/>
      <c r="P35" s="173"/>
      <c r="Q35" s="173"/>
      <c r="W35" s="173"/>
    </row>
    <row r="36" spans="2:23" ht="13.5" customHeight="1">
      <c r="B36" s="167">
        <v>13</v>
      </c>
      <c r="C36" s="184" t="s">
        <v>150</v>
      </c>
      <c r="D36" s="167"/>
      <c r="E36" s="167"/>
      <c r="F36" s="185"/>
      <c r="G36" s="185"/>
      <c r="H36" s="185"/>
      <c r="I36" s="185"/>
      <c r="J36" s="185"/>
      <c r="K36" s="185"/>
      <c r="L36" s="185"/>
      <c r="M36" s="167"/>
      <c r="N36" s="167"/>
      <c r="O36" s="185"/>
      <c r="P36" s="185"/>
      <c r="Q36" s="186"/>
      <c r="W36" s="173"/>
    </row>
    <row r="37" spans="2:23" ht="13.5" customHeight="1">
      <c r="B37" s="167"/>
      <c r="C37" s="184"/>
      <c r="D37" s="167"/>
      <c r="E37" s="167"/>
      <c r="F37" s="187">
        <v>1</v>
      </c>
      <c r="G37" s="165">
        <f>F37+1</f>
        <v>2</v>
      </c>
      <c r="H37" s="165">
        <f>G37+1</f>
        <v>3</v>
      </c>
      <c r="I37" s="165">
        <f t="shared" ref="I37:Q37" si="3">H37+1</f>
        <v>4</v>
      </c>
      <c r="J37" s="165">
        <f t="shared" si="3"/>
        <v>5</v>
      </c>
      <c r="K37" s="165">
        <f t="shared" si="3"/>
        <v>6</v>
      </c>
      <c r="L37" s="165">
        <f t="shared" si="3"/>
        <v>7</v>
      </c>
      <c r="M37" s="165">
        <f t="shared" si="3"/>
        <v>8</v>
      </c>
      <c r="N37" s="165">
        <f t="shared" si="3"/>
        <v>9</v>
      </c>
      <c r="O37" s="165">
        <f t="shared" si="3"/>
        <v>10</v>
      </c>
      <c r="P37" s="165">
        <f t="shared" si="3"/>
        <v>11</v>
      </c>
      <c r="Q37" s="165">
        <f t="shared" si="3"/>
        <v>12</v>
      </c>
      <c r="W37" s="173"/>
    </row>
    <row r="38" spans="2:23" ht="13.5" customHeight="1">
      <c r="C38" s="188" t="s">
        <v>151</v>
      </c>
      <c r="D38" s="189"/>
      <c r="E38" s="189"/>
      <c r="F38" s="190">
        <f t="shared" ref="F38:Q38" si="4">SUM(F40:F66)</f>
        <v>403645.833333333</v>
      </c>
      <c r="G38" s="190">
        <f t="shared" si="4"/>
        <v>78645.8333333333</v>
      </c>
      <c r="H38" s="190">
        <f t="shared" si="4"/>
        <v>78645.8333333333</v>
      </c>
      <c r="I38" s="190">
        <f t="shared" si="4"/>
        <v>493645.833333333</v>
      </c>
      <c r="J38" s="190">
        <f t="shared" si="4"/>
        <v>43645.8333333333</v>
      </c>
      <c r="K38" s="190">
        <f t="shared" si="4"/>
        <v>33645.8333333333</v>
      </c>
      <c r="L38" s="190">
        <f t="shared" si="4"/>
        <v>43645.8333333333</v>
      </c>
      <c r="M38" s="190">
        <f t="shared" si="4"/>
        <v>243645.833333333</v>
      </c>
      <c r="N38" s="190">
        <f t="shared" si="4"/>
        <v>93645.8333333333</v>
      </c>
      <c r="O38" s="190">
        <f t="shared" si="4"/>
        <v>93645.8333333333</v>
      </c>
      <c r="P38" s="190">
        <f t="shared" si="4"/>
        <v>38645.8333333333</v>
      </c>
      <c r="Q38" s="190">
        <f t="shared" si="4"/>
        <v>43645.8333333333</v>
      </c>
      <c r="R38" s="191"/>
      <c r="W38" s="173"/>
    </row>
    <row r="39" spans="2:23" ht="13.5" customHeight="1">
      <c r="B39" s="167"/>
      <c r="C39" s="192" t="s">
        <v>152</v>
      </c>
      <c r="D39" s="193"/>
      <c r="E39" s="193"/>
      <c r="F39" s="194">
        <f>F38</f>
        <v>403645.833333333</v>
      </c>
      <c r="G39" s="194">
        <f>F39+G38</f>
        <v>482291.666666667</v>
      </c>
      <c r="H39" s="194">
        <f t="shared" ref="H39:Q39" si="5">G39+H38</f>
        <v>560937.5</v>
      </c>
      <c r="I39" s="194">
        <f t="shared" si="5"/>
        <v>1054583.33333333</v>
      </c>
      <c r="J39" s="194">
        <f t="shared" si="5"/>
        <v>1098229.16666667</v>
      </c>
      <c r="K39" s="194">
        <f t="shared" si="5"/>
        <v>1131875</v>
      </c>
      <c r="L39" s="194">
        <f t="shared" si="5"/>
        <v>1175520.83333333</v>
      </c>
      <c r="M39" s="194">
        <f t="shared" si="5"/>
        <v>1419166.66666667</v>
      </c>
      <c r="N39" s="194">
        <f t="shared" si="5"/>
        <v>1512812.5</v>
      </c>
      <c r="O39" s="194">
        <f t="shared" si="5"/>
        <v>1606458.33333333</v>
      </c>
      <c r="P39" s="194">
        <f t="shared" si="5"/>
        <v>1645104.16666667</v>
      </c>
      <c r="Q39" s="194">
        <f t="shared" si="5"/>
        <v>1688750</v>
      </c>
      <c r="R39" s="191"/>
      <c r="W39" s="173"/>
    </row>
    <row r="40" spans="2:23" ht="13.5" customHeight="1">
      <c r="B40" s="371"/>
      <c r="C40" s="184" t="s">
        <v>326</v>
      </c>
      <c r="D40" s="372"/>
      <c r="E40" s="372"/>
      <c r="F40" s="373">
        <f t="shared" ref="F40:Q40" si="6">600000/36</f>
        <v>16666.6666666667</v>
      </c>
      <c r="G40" s="373">
        <f t="shared" si="6"/>
        <v>16666.6666666667</v>
      </c>
      <c r="H40" s="373">
        <f t="shared" si="6"/>
        <v>16666.6666666667</v>
      </c>
      <c r="I40" s="373">
        <f t="shared" si="6"/>
        <v>16666.6666666667</v>
      </c>
      <c r="J40" s="373">
        <f t="shared" si="6"/>
        <v>16666.6666666667</v>
      </c>
      <c r="K40" s="373">
        <f t="shared" si="6"/>
        <v>16666.6666666667</v>
      </c>
      <c r="L40" s="373">
        <f t="shared" si="6"/>
        <v>16666.6666666667</v>
      </c>
      <c r="M40" s="373">
        <f t="shared" si="6"/>
        <v>16666.6666666667</v>
      </c>
      <c r="N40" s="373">
        <f t="shared" si="6"/>
        <v>16666.6666666667</v>
      </c>
      <c r="O40" s="373">
        <f t="shared" si="6"/>
        <v>16666.6666666667</v>
      </c>
      <c r="P40" s="373">
        <f t="shared" si="6"/>
        <v>16666.6666666667</v>
      </c>
      <c r="Q40" s="373">
        <f t="shared" si="6"/>
        <v>16666.6666666667</v>
      </c>
      <c r="R40" s="191"/>
      <c r="W40" s="173"/>
    </row>
    <row r="41" spans="2:23" ht="13.5" customHeight="1">
      <c r="C41" s="175" t="s">
        <v>113</v>
      </c>
      <c r="D41" s="189"/>
      <c r="E41" s="189"/>
      <c r="F41" s="190">
        <v>1562.5</v>
      </c>
      <c r="G41" s="190">
        <v>1562.5</v>
      </c>
      <c r="H41" s="190">
        <v>1562.5</v>
      </c>
      <c r="I41" s="190">
        <v>1562.5</v>
      </c>
      <c r="J41" s="190">
        <v>1562.5</v>
      </c>
      <c r="K41" s="190">
        <v>1562.5</v>
      </c>
      <c r="L41" s="190">
        <v>1562.5</v>
      </c>
      <c r="M41" s="190">
        <v>1562.5</v>
      </c>
      <c r="N41" s="190">
        <v>1562.5</v>
      </c>
      <c r="O41" s="190">
        <v>1562.5</v>
      </c>
      <c r="P41" s="190">
        <v>1562.5</v>
      </c>
      <c r="Q41" s="190">
        <v>1562.5</v>
      </c>
      <c r="R41" s="191"/>
      <c r="W41" s="173"/>
    </row>
    <row r="42" spans="2:23" ht="13.5" customHeight="1">
      <c r="B42" s="167"/>
      <c r="C42" s="184" t="s">
        <v>114</v>
      </c>
      <c r="D42" s="193"/>
      <c r="E42" s="193"/>
      <c r="F42" s="194">
        <v>10416.666666666666</v>
      </c>
      <c r="G42" s="194">
        <v>10416.666666666666</v>
      </c>
      <c r="H42" s="194">
        <v>10416.666666666666</v>
      </c>
      <c r="I42" s="194">
        <v>10416.666666666666</v>
      </c>
      <c r="J42" s="194">
        <v>10416.666666666666</v>
      </c>
      <c r="K42" s="194">
        <v>10416.666666666666</v>
      </c>
      <c r="L42" s="194">
        <v>10416.666666666666</v>
      </c>
      <c r="M42" s="194">
        <v>10416.666666666666</v>
      </c>
      <c r="N42" s="194">
        <v>10416.666666666666</v>
      </c>
      <c r="O42" s="194">
        <v>10416.666666666666</v>
      </c>
      <c r="P42" s="194">
        <v>10416.666666666666</v>
      </c>
      <c r="Q42" s="194">
        <v>10416.666666666666</v>
      </c>
      <c r="R42" s="191"/>
      <c r="W42" s="173"/>
    </row>
    <row r="43" spans="2:23" ht="13.5" customHeight="1">
      <c r="C43" s="175" t="s">
        <v>85</v>
      </c>
      <c r="F43" s="191">
        <v>10000</v>
      </c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W43" s="173"/>
    </row>
    <row r="44" spans="2:23" ht="13.5" customHeight="1">
      <c r="C44" s="175" t="s">
        <v>86</v>
      </c>
      <c r="F44" s="191">
        <v>35000</v>
      </c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W44" s="173"/>
    </row>
    <row r="45" spans="2:23" ht="13.5" customHeight="1">
      <c r="C45" s="175" t="s">
        <v>87</v>
      </c>
      <c r="F45" s="191">
        <v>80000</v>
      </c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W45" s="173"/>
    </row>
    <row r="46" spans="2:23" ht="13.5" customHeight="1">
      <c r="C46" s="175" t="s">
        <v>88</v>
      </c>
      <c r="F46" s="191">
        <v>100000</v>
      </c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W46" s="173"/>
    </row>
    <row r="47" spans="2:23" ht="13.5" customHeight="1">
      <c r="C47" s="175" t="s">
        <v>89</v>
      </c>
      <c r="F47" s="191">
        <v>5000</v>
      </c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W47" s="173"/>
    </row>
    <row r="48" spans="2:23" ht="13.5" customHeight="1">
      <c r="C48" s="175" t="s">
        <v>90</v>
      </c>
      <c r="F48" s="191">
        <v>60000</v>
      </c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W48" s="173"/>
    </row>
    <row r="49" spans="2:23" ht="13.5" customHeight="1">
      <c r="C49" s="175" t="s">
        <v>91</v>
      </c>
      <c r="F49" s="191">
        <v>15000</v>
      </c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W49" s="173"/>
    </row>
    <row r="50" spans="2:23" ht="13.5" customHeight="1">
      <c r="B50" s="167"/>
      <c r="C50" s="184" t="s">
        <v>92</v>
      </c>
      <c r="D50" s="167"/>
      <c r="E50" s="167"/>
      <c r="F50" s="196">
        <v>20000</v>
      </c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5"/>
      <c r="W50" s="173"/>
    </row>
    <row r="51" spans="2:23" ht="13.5" customHeight="1">
      <c r="C51" s="175" t="s">
        <v>153</v>
      </c>
      <c r="F51" s="198"/>
      <c r="G51" s="199"/>
      <c r="H51" s="191"/>
      <c r="I51" s="191">
        <v>140000</v>
      </c>
      <c r="J51" s="191"/>
      <c r="K51" s="191"/>
      <c r="L51" s="191"/>
      <c r="M51" s="191"/>
      <c r="N51" s="191"/>
      <c r="O51" s="191"/>
      <c r="P51" s="191"/>
      <c r="Q51" s="191"/>
      <c r="W51" s="173"/>
    </row>
    <row r="52" spans="2:23" ht="13.5" customHeight="1">
      <c r="C52" s="175" t="s">
        <v>94</v>
      </c>
      <c r="F52" s="200"/>
      <c r="G52" s="201"/>
      <c r="H52" s="191"/>
      <c r="I52" s="191">
        <v>75000</v>
      </c>
      <c r="J52" s="191"/>
      <c r="K52" s="191"/>
      <c r="L52" s="191"/>
      <c r="M52" s="191"/>
      <c r="N52" s="191"/>
      <c r="O52" s="191"/>
      <c r="P52" s="191"/>
      <c r="Q52" s="191"/>
      <c r="W52" s="173"/>
    </row>
    <row r="53" spans="2:23" ht="13.5" customHeight="1">
      <c r="C53" s="175" t="s">
        <v>154</v>
      </c>
      <c r="F53" s="200"/>
      <c r="G53" s="201"/>
      <c r="H53" s="191"/>
      <c r="I53" s="191">
        <v>120000</v>
      </c>
      <c r="J53" s="191"/>
      <c r="K53" s="191"/>
      <c r="L53" s="191"/>
      <c r="M53" s="191"/>
      <c r="N53" s="191"/>
      <c r="O53" s="191"/>
      <c r="P53" s="191"/>
      <c r="Q53" s="191"/>
      <c r="W53" s="173"/>
    </row>
    <row r="54" spans="2:23" ht="13.5" customHeight="1">
      <c r="C54" s="175" t="s">
        <v>96</v>
      </c>
      <c r="F54" s="200"/>
      <c r="G54" s="201"/>
      <c r="H54" s="191"/>
      <c r="I54" s="191">
        <v>20000</v>
      </c>
      <c r="J54" s="191"/>
      <c r="K54" s="191"/>
      <c r="L54" s="191"/>
      <c r="M54" s="191"/>
      <c r="N54" s="191"/>
      <c r="O54" s="191"/>
      <c r="P54" s="191"/>
      <c r="Q54" s="191"/>
      <c r="W54" s="173"/>
    </row>
    <row r="55" spans="2:23" ht="13.5" customHeight="1">
      <c r="C55" s="175" t="s">
        <v>97</v>
      </c>
      <c r="F55" s="200"/>
      <c r="G55" s="201"/>
      <c r="H55" s="191"/>
      <c r="I55" s="191">
        <v>30000</v>
      </c>
      <c r="J55" s="191"/>
      <c r="K55" s="191"/>
      <c r="L55" s="191"/>
      <c r="M55" s="191"/>
      <c r="N55" s="191"/>
      <c r="O55" s="191"/>
      <c r="P55" s="191"/>
      <c r="Q55" s="191"/>
      <c r="W55" s="173"/>
    </row>
    <row r="56" spans="2:23" ht="13.5" customHeight="1">
      <c r="C56" s="175" t="s">
        <v>98</v>
      </c>
      <c r="F56" s="200"/>
      <c r="G56" s="201"/>
      <c r="H56" s="191"/>
      <c r="I56" s="191"/>
      <c r="J56" s="191"/>
      <c r="K56" s="191"/>
      <c r="L56" s="191">
        <v>10000</v>
      </c>
      <c r="M56" s="191"/>
      <c r="N56" s="191"/>
      <c r="O56" s="191"/>
      <c r="P56" s="191"/>
      <c r="Q56" s="191"/>
      <c r="W56" s="173"/>
    </row>
    <row r="57" spans="2:23" ht="13.5" customHeight="1">
      <c r="B57" s="167"/>
      <c r="C57" s="184" t="s">
        <v>99</v>
      </c>
      <c r="D57" s="167"/>
      <c r="E57" s="167"/>
      <c r="F57" s="187"/>
      <c r="G57" s="165"/>
      <c r="H57" s="196"/>
      <c r="I57" s="196">
        <v>30000</v>
      </c>
      <c r="J57" s="196"/>
      <c r="K57" s="196"/>
      <c r="L57" s="196"/>
      <c r="M57" s="196"/>
      <c r="N57" s="196"/>
      <c r="O57" s="196"/>
      <c r="P57" s="196"/>
      <c r="Q57" s="196"/>
      <c r="W57" s="173"/>
    </row>
    <row r="58" spans="2:23" ht="13.5" customHeight="1">
      <c r="C58" s="175" t="s">
        <v>100</v>
      </c>
      <c r="F58" s="200"/>
      <c r="G58" s="201"/>
      <c r="H58" s="191"/>
      <c r="I58" s="191"/>
      <c r="J58" s="191"/>
      <c r="K58" s="191"/>
      <c r="L58" s="191"/>
      <c r="M58" s="191">
        <v>150000</v>
      </c>
      <c r="N58" s="191"/>
      <c r="O58" s="191"/>
      <c r="P58" s="191"/>
      <c r="Q58" s="191"/>
      <c r="W58" s="173"/>
    </row>
    <row r="59" spans="2:23" ht="13.5" customHeight="1">
      <c r="C59" s="175" t="s">
        <v>101</v>
      </c>
      <c r="F59" s="200"/>
      <c r="G59" s="201"/>
      <c r="H59" s="191"/>
      <c r="I59" s="191"/>
      <c r="J59" s="191"/>
      <c r="K59" s="191"/>
      <c r="L59" s="191"/>
      <c r="M59" s="191">
        <v>60000</v>
      </c>
      <c r="N59" s="191"/>
      <c r="O59" s="191"/>
      <c r="P59" s="191"/>
      <c r="Q59" s="191"/>
      <c r="W59" s="173"/>
    </row>
    <row r="60" spans="2:23" ht="13.5" customHeight="1">
      <c r="C60" s="175" t="s">
        <v>155</v>
      </c>
      <c r="F60" s="200"/>
      <c r="G60" s="201"/>
      <c r="H60" s="191"/>
      <c r="I60" s="191"/>
      <c r="J60" s="191">
        <v>10000</v>
      </c>
      <c r="K60" s="191"/>
      <c r="L60" s="191"/>
      <c r="M60" s="191"/>
      <c r="N60" s="191"/>
      <c r="O60" s="191"/>
      <c r="P60" s="191"/>
      <c r="Q60" s="191"/>
      <c r="W60" s="173"/>
    </row>
    <row r="61" spans="2:23" ht="13.5" customHeight="1">
      <c r="B61" s="167"/>
      <c r="C61" s="184" t="s">
        <v>156</v>
      </c>
      <c r="D61" s="167"/>
      <c r="E61" s="167"/>
      <c r="F61" s="196">
        <v>50000</v>
      </c>
      <c r="G61" s="196">
        <v>50000</v>
      </c>
      <c r="H61" s="196">
        <v>50000</v>
      </c>
      <c r="I61" s="196">
        <v>50000</v>
      </c>
      <c r="J61" s="196">
        <v>5000</v>
      </c>
      <c r="K61" s="196">
        <v>5000</v>
      </c>
      <c r="L61" s="196">
        <v>5000</v>
      </c>
      <c r="M61" s="196">
        <v>5000</v>
      </c>
      <c r="N61" s="196">
        <v>5000</v>
      </c>
      <c r="O61" s="196">
        <v>5000</v>
      </c>
      <c r="P61" s="196">
        <v>5000</v>
      </c>
      <c r="Q61" s="196">
        <v>5000</v>
      </c>
      <c r="W61" s="173"/>
    </row>
    <row r="62" spans="2:23" ht="13.5" customHeight="1">
      <c r="C62" s="175" t="s">
        <v>103</v>
      </c>
      <c r="F62" s="200"/>
      <c r="G62" s="201"/>
      <c r="H62" s="191"/>
      <c r="I62" s="191"/>
      <c r="J62" s="191"/>
      <c r="K62" s="191"/>
      <c r="L62" s="191"/>
      <c r="M62" s="191"/>
      <c r="N62" s="191">
        <v>50000</v>
      </c>
      <c r="O62" s="191"/>
      <c r="P62" s="191"/>
      <c r="Q62" s="191"/>
      <c r="W62" s="173"/>
    </row>
    <row r="63" spans="2:23" ht="13.5" customHeight="1">
      <c r="C63" s="175" t="s">
        <v>157</v>
      </c>
      <c r="F63" s="200"/>
      <c r="G63" s="201"/>
      <c r="H63" s="191"/>
      <c r="I63" s="191"/>
      <c r="J63" s="191"/>
      <c r="K63" s="191"/>
      <c r="L63" s="191"/>
      <c r="M63" s="191"/>
      <c r="N63" s="191"/>
      <c r="O63" s="191">
        <v>60000</v>
      </c>
      <c r="P63" s="191"/>
      <c r="Q63" s="191"/>
      <c r="W63" s="173"/>
    </row>
    <row r="64" spans="2:23" ht="13.5" customHeight="1">
      <c r="C64" s="175" t="s">
        <v>105</v>
      </c>
      <c r="F64" s="200"/>
      <c r="G64" s="201"/>
      <c r="H64" s="191"/>
      <c r="I64" s="191"/>
      <c r="J64" s="191"/>
      <c r="K64" s="191"/>
      <c r="L64" s="191"/>
      <c r="M64" s="191"/>
      <c r="N64" s="191"/>
      <c r="O64" s="191"/>
      <c r="P64" s="191"/>
      <c r="Q64" s="191">
        <v>10000</v>
      </c>
      <c r="W64" s="173"/>
    </row>
    <row r="65" spans="2:23" ht="13.5" customHeight="1">
      <c r="B65" s="167"/>
      <c r="C65" s="184" t="s">
        <v>106</v>
      </c>
      <c r="D65" s="167"/>
      <c r="E65" s="167"/>
      <c r="F65" s="187"/>
      <c r="G65" s="165"/>
      <c r="H65" s="165"/>
      <c r="I65" s="196"/>
      <c r="J65" s="196"/>
      <c r="K65" s="196"/>
      <c r="L65" s="196"/>
      <c r="M65" s="196"/>
      <c r="N65" s="196">
        <v>10000</v>
      </c>
      <c r="O65" s="196"/>
      <c r="P65" s="196">
        <v>5000</v>
      </c>
      <c r="Q65" s="196"/>
      <c r="W65" s="173"/>
    </row>
    <row r="66" spans="2:23" ht="13.5" customHeight="1">
      <c r="C66" s="175" t="s">
        <v>322</v>
      </c>
      <c r="F66" s="200"/>
      <c r="G66" s="201"/>
      <c r="H66" s="201"/>
      <c r="I66" s="191"/>
      <c r="J66" s="191"/>
      <c r="K66" s="191"/>
      <c r="L66" s="191"/>
      <c r="M66" s="191"/>
      <c r="N66" s="191"/>
      <c r="O66" s="191"/>
      <c r="P66" s="191"/>
      <c r="Q66" s="191"/>
      <c r="W66" s="173"/>
    </row>
    <row r="67" spans="2:23" ht="13.5" customHeight="1">
      <c r="C67" s="202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W67" s="173"/>
    </row>
    <row r="68" spans="2:23" ht="10.5">
      <c r="C68" s="203" t="s">
        <v>158</v>
      </c>
    </row>
  </sheetData>
  <hyperlinks>
    <hyperlink ref="C68" r:id="rId1" xr:uid="{25928CC4-BCE4-445A-BE72-6D05EE659371}"/>
  </hyperlinks>
  <pageMargins left="0.25" right="0.25" top="0.75" bottom="0.75" header="0.3" footer="0.3"/>
  <pageSetup scale="53" orientation="landscape" horizontalDpi="1200" verticalDpi="12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SUMMARY</vt:lpstr>
      <vt:lpstr>Proforma</vt:lpstr>
      <vt:lpstr>Lot Pricing Worksheet</vt:lpstr>
      <vt:lpstr>Lot Pricing</vt:lpstr>
      <vt:lpstr>Land Comps</vt:lpstr>
      <vt:lpstr>SFH Comps</vt:lpstr>
      <vt:lpstr>Entitlement Gantt Chart</vt:lpstr>
      <vt:lpstr>'Entitlement Gantt Chart'!Print_Area</vt:lpstr>
      <vt:lpstr>'Land Comps'!Print_Area</vt:lpstr>
      <vt:lpstr>'Lot Pricing Worksheet'!Print_Area</vt:lpstr>
      <vt:lpstr>Proforma!Print_Area</vt:lpstr>
      <vt:lpstr>SUMMARY!Print_Area</vt:lpstr>
      <vt:lpstr>'Entitlement Gantt Chart'!Print_Titles</vt:lpstr>
      <vt:lpstr>Proforma!Print_Titles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Heather Hanley</cp:lastModifiedBy>
  <cp:lastPrinted>2026-10-13T21:20:34Z</cp:lastPrinted>
  <dcterms:created xsi:type="dcterms:W3CDTF">2010-01-26T15:11:17Z</dcterms:created>
  <dcterms:modified xsi:type="dcterms:W3CDTF">2026-10-13T21:26:48Z</dcterms:modified>
</cp:coreProperties>
</file>